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G:\HydrauCalc (versions)\HydrauCalc2022a\HydrauCalcXL2022a\Tutorials\"/>
    </mc:Choice>
  </mc:AlternateContent>
  <xr:revisionPtr revIDLastSave="0" documentId="13_ncr:1_{0A1D82CA-86C8-42B8-8FEC-8A84DC69BE40}" xr6:coauthVersionLast="46" xr6:coauthVersionMax="47" xr10:uidLastSave="{00000000-0000-0000-0000-000000000000}"/>
  <bookViews>
    <workbookView xWindow="-120" yWindow="-120" windowWidth="29040" windowHeight="15720" activeTab="1" xr2:uid="{68D34FCC-DC8D-4E2C-BE75-DC9D02E23F32}"/>
  </bookViews>
  <sheets>
    <sheet name="Readme" sheetId="7" r:id="rId1"/>
    <sheet name="System" sheetId="5" r:id="rId2"/>
  </sheets>
  <definedNames>
    <definedName name="A_J2">System!$H$39</definedName>
    <definedName name="A_J3">System!$H$40</definedName>
    <definedName name="A_J6">System!$H$41</definedName>
    <definedName name="A_J7">System!$H$42</definedName>
    <definedName name="C_J2">System!$F$39</definedName>
    <definedName name="C_J3">System!$F$40</definedName>
    <definedName name="C_J6">System!$F$41</definedName>
    <definedName name="C_J7">System!$F$42</definedName>
    <definedName name="Cd">System!$E$16</definedName>
    <definedName name="D_J2">System!$D$39</definedName>
    <definedName name="D_J3">System!$D$40</definedName>
    <definedName name="D_J6">System!$D$41</definedName>
    <definedName name="D_J7">System!$D$42</definedName>
    <definedName name="D_P1">System!$D$29</definedName>
    <definedName name="D_P2">System!$D$30</definedName>
    <definedName name="D_P3">System!$D$31</definedName>
    <definedName name="D_P4">System!$D$32</definedName>
    <definedName name="D_P5">System!$D$33</definedName>
    <definedName name="D_P6">System!$D$34</definedName>
    <definedName name="D_P7">System!$D$35</definedName>
    <definedName name="dP_J1">System!$N$33</definedName>
    <definedName name="dP_J2">System!$N$45</definedName>
    <definedName name="dP_J3">System!$N$46</definedName>
    <definedName name="dP_J6">System!$N$47</definedName>
    <definedName name="dP_J7">System!$N$48</definedName>
    <definedName name="dP_P1">System!$N$36</definedName>
    <definedName name="dP_P2">System!$N$37</definedName>
    <definedName name="dP_P3">System!$N$38</definedName>
    <definedName name="dP_P4">System!$N$39</definedName>
    <definedName name="dP_P5">System!$N$40</definedName>
    <definedName name="dP_P6">System!$N$41</definedName>
    <definedName name="dP_P7">System!$N$42</definedName>
    <definedName name="e_J2">System!$J$39</definedName>
    <definedName name="e_J3">System!$J$40</definedName>
    <definedName name="e_J6">System!$J$41</definedName>
    <definedName name="e_J7">System!$J$42</definedName>
    <definedName name="e_P1">System!$H$29</definedName>
    <definedName name="e_P2">System!$H$30</definedName>
    <definedName name="e_P3">System!$H$31</definedName>
    <definedName name="e_P4">System!$H$32</definedName>
    <definedName name="e_P5">System!$H$33</definedName>
    <definedName name="e_P6">System!$H$34</definedName>
    <definedName name="e_P7">System!$H$35</definedName>
    <definedName name="H_J1" localSheetId="1">System!$D$35</definedName>
    <definedName name="H_J5">System!$N$29</definedName>
    <definedName name="J2_">System!$C$39</definedName>
    <definedName name="J3_">System!$C$40</definedName>
    <definedName name="J6_">System!$C$41</definedName>
    <definedName name="J7_">System!$C$42</definedName>
    <definedName name="L_P1">System!$F$29</definedName>
    <definedName name="L_P2">System!$F$30</definedName>
    <definedName name="L_P3">System!$F$31</definedName>
    <definedName name="L_P4">System!$F$32</definedName>
    <definedName name="L_P5">System!$F$33</definedName>
    <definedName name="L_P6">System!$F$34</definedName>
    <definedName name="L_P7">System!$F$35</definedName>
    <definedName name="nu">System!$E$21</definedName>
    <definedName name="OpenSolver_ChosenSolver" localSheetId="1" hidden="1">Cbc</definedName>
    <definedName name="OpenSolver_DualsNewSheet" localSheetId="1" hidden="1">0</definedName>
    <definedName name="OpenSolver_LinearityCheck" localSheetId="1" hidden="1">1</definedName>
    <definedName name="OpenSolver_UpdateSensitivity" localSheetId="1" hidden="1">1</definedName>
    <definedName name="P_J4">System!$D$25</definedName>
    <definedName name="P_J5">System!$N$30</definedName>
    <definedName name="P_n1">System!$R$14</definedName>
    <definedName name="P_n10">System!$R$23</definedName>
    <definedName name="P_n11">System!$R$24</definedName>
    <definedName name="P_n12">System!$R$25</definedName>
    <definedName name="P_n13">System!$R$26</definedName>
    <definedName name="P_n14">System!$R$27</definedName>
    <definedName name="P_n2">System!$R$15</definedName>
    <definedName name="P_n3">System!$R$16</definedName>
    <definedName name="P_n4">System!$R$17</definedName>
    <definedName name="P_n5">System!$R$18</definedName>
    <definedName name="P_n6">System!$R$19</definedName>
    <definedName name="P_n7">System!$R$20</definedName>
    <definedName name="P_n8">System!$R$21</definedName>
    <definedName name="P_n9">System!$R$22</definedName>
    <definedName name="Q_J5">System!$R$8</definedName>
    <definedName name="rho">System!$E$20</definedName>
    <definedName name="solver_adj" localSheetId="1" hidden="1">System!$R$8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System!$R$10</definedName>
    <definedName name="solver_lhs2" localSheetId="1" hidden="1">System!#REF!</definedName>
    <definedName name="solver_lhs3" localSheetId="1" hidden="1">System!#REF!</definedName>
    <definedName name="solver_lhs4" localSheetId="1" hidden="1">System!$R$14</definedName>
    <definedName name="solver_lhs5" localSheetId="1" hidden="1">System!$R$27</definedName>
    <definedName name="solver_lhs6" localSheetId="1" hidden="1">System!#REF!</definedName>
    <definedName name="solver_lhs7" localSheetId="1" hidden="1">System!#REF!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1</definedName>
    <definedName name="solver_nwt" localSheetId="1" hidden="1">1</definedName>
    <definedName name="solver_pre" localSheetId="1" hidden="1">0.000001</definedName>
    <definedName name="solver_rbv" localSheetId="1" hidden="1">1</definedName>
    <definedName name="solver_rel1" localSheetId="1" hidden="1">2</definedName>
    <definedName name="solver_rel2" localSheetId="1" hidden="1">3</definedName>
    <definedName name="solver_rel3" localSheetId="1" hidden="1">3</definedName>
    <definedName name="solver_rel4" localSheetId="1" hidden="1">2</definedName>
    <definedName name="solver_rel5" localSheetId="1" hidden="1">2</definedName>
    <definedName name="solver_rel6" localSheetId="1" hidden="1">3</definedName>
    <definedName name="solver_rel7" localSheetId="1" hidden="1">3</definedName>
    <definedName name="solver_rhs1" localSheetId="1" hidden="1">0</definedName>
    <definedName name="solver_rhs2" localSheetId="1" hidden="1">0.00001</definedName>
    <definedName name="solver_rhs3" localSheetId="1" hidden="1">0.00001</definedName>
    <definedName name="solver_rhs4" localSheetId="1" hidden="1">dP_b</definedName>
    <definedName name="solver_rhs5" localSheetId="1" hidden="1">dP_b</definedName>
    <definedName name="solver_rhs6" localSheetId="1" hidden="1">0.0001</definedName>
    <definedName name="solver_rhs7" localSheetId="1" hidden="1">0.0001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3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" i="5" l="1"/>
  <c r="Q27" i="5"/>
  <c r="Q26" i="5"/>
  <c r="Q25" i="5"/>
  <c r="Q24" i="5"/>
  <c r="Q23" i="5"/>
  <c r="Q22" i="5"/>
  <c r="Q21" i="5"/>
  <c r="Q20" i="5"/>
  <c r="Q19" i="5"/>
  <c r="Q18" i="5"/>
  <c r="Q17" i="5"/>
  <c r="Q16" i="5"/>
  <c r="Q15" i="5"/>
  <c r="Q14" i="5"/>
  <c r="H116" i="7"/>
  <c r="I116" i="7" s="1"/>
  <c r="G116" i="7"/>
  <c r="N29" i="5"/>
  <c r="N33" i="5"/>
  <c r="N42" i="5"/>
  <c r="N41" i="5"/>
  <c r="N40" i="5"/>
  <c r="N39" i="5"/>
  <c r="N38" i="5"/>
  <c r="N37" i="5"/>
  <c r="N36" i="5"/>
  <c r="N45" i="5"/>
  <c r="N48" i="5"/>
  <c r="N47" i="5"/>
  <c r="N46" i="5"/>
  <c r="X9" i="5" l="1"/>
  <c r="X12" i="5"/>
  <c r="X13" i="5"/>
  <c r="X10" i="5"/>
  <c r="X11" i="5"/>
  <c r="M45" i="5"/>
  <c r="M46" i="5"/>
  <c r="M47" i="5"/>
  <c r="M48" i="5"/>
  <c r="F39" i="5"/>
  <c r="F40" i="5"/>
  <c r="F41" i="5"/>
  <c r="F42" i="5"/>
  <c r="N30" i="5"/>
  <c r="R15" i="5" l="1"/>
  <c r="R16" i="5" l="1"/>
  <c r="R17" i="5" s="1"/>
  <c r="R18" i="5" s="1"/>
  <c r="R19" i="5" s="1"/>
  <c r="R20" i="5" s="1"/>
  <c r="R21" i="5" s="1"/>
  <c r="R22" i="5" s="1"/>
  <c r="R23" i="5" s="1"/>
  <c r="R24" i="5" s="1"/>
  <c r="R25" i="5" s="1"/>
  <c r="R26" i="5" s="1"/>
  <c r="R27" i="5" s="1"/>
  <c r="R10" i="5" l="1"/>
</calcChain>
</file>

<file path=xl/sharedStrings.xml><?xml version="1.0" encoding="utf-8"?>
<sst xmlns="http://schemas.openxmlformats.org/spreadsheetml/2006/main" count="309" uniqueCount="244">
  <si>
    <t>m³/s</t>
  </si>
  <si>
    <t>Density</t>
  </si>
  <si>
    <t>kg/m³</t>
  </si>
  <si>
    <t>Kinematic Viscosity</t>
  </si>
  <si>
    <t>m²/s</t>
  </si>
  <si>
    <t>Pa</t>
  </si>
  <si>
    <t>Check data (0/1)</t>
  </si>
  <si>
    <t>Input data</t>
  </si>
  <si>
    <t>HydrauCalc calculation</t>
  </si>
  <si>
    <t>Excel calculation</t>
  </si>
  <si>
    <t>rho</t>
  </si>
  <si>
    <t>nu</t>
  </si>
  <si>
    <t>Variable name</t>
  </si>
  <si>
    <t>Data verification</t>
  </si>
  <si>
    <t>Cd</t>
  </si>
  <si>
    <t>Pipe data</t>
  </si>
  <si>
    <t>Name</t>
  </si>
  <si>
    <t>Bend data</t>
  </si>
  <si>
    <t>Solver data</t>
  </si>
  <si>
    <t>Value to be computed by solver (variable cells):</t>
  </si>
  <si>
    <t>Difference</t>
  </si>
  <si>
    <t>Reference</t>
  </si>
  <si>
    <t>Flowrate</t>
  </si>
  <si>
    <t>Press. loss</t>
  </si>
  <si>
    <t>Head</t>
  </si>
  <si>
    <t>J4</t>
  </si>
  <si>
    <t>J7</t>
  </si>
  <si>
    <t>J5</t>
  </si>
  <si>
    <t>dP_P1</t>
  </si>
  <si>
    <t>dP_P2</t>
  </si>
  <si>
    <t>dP_P3</t>
  </si>
  <si>
    <t>dP_P4</t>
  </si>
  <si>
    <t>dP_P5</t>
  </si>
  <si>
    <t>dP_P6</t>
  </si>
  <si>
    <t>dP_P7</t>
  </si>
  <si>
    <t>J1</t>
  </si>
  <si>
    <t>J3</t>
  </si>
  <si>
    <t>P2</t>
  </si>
  <si>
    <t>P5</t>
  </si>
  <si>
    <t>P1</t>
  </si>
  <si>
    <t>J2</t>
  </si>
  <si>
    <t>J6</t>
  </si>
  <si>
    <t>P3</t>
  </si>
  <si>
    <t>P4</t>
  </si>
  <si>
    <t>P6</t>
  </si>
  <si>
    <t>P7</t>
  </si>
  <si>
    <t>Reference: AFT Fathom 10 - Examples - Heat Exchanger System</t>
  </si>
  <si>
    <t>Pressure</t>
  </si>
  <si>
    <t>P_J4</t>
  </si>
  <si>
    <t>dP_J1</t>
  </si>
  <si>
    <t>H_J5</t>
  </si>
  <si>
    <t>P_J5</t>
  </si>
  <si>
    <t>Q_J5</t>
  </si>
  <si>
    <t>= P_J4</t>
  </si>
  <si>
    <t>Comparison of volume flowrate (m³/s)</t>
  </si>
  <si>
    <t>Pump J5</t>
  </si>
  <si>
    <t>https://hydraucalc.com</t>
  </si>
  <si>
    <t>Find: the volume flowrate in the loop</t>
  </si>
  <si>
    <t>Legend</t>
  </si>
  <si>
    <t>Unit symbol</t>
  </si>
  <si>
    <t xml:space="preserve">Fluid </t>
  </si>
  <si>
    <t>Water 21 °C at 1 atm</t>
  </si>
  <si>
    <t>Fluid data</t>
  </si>
  <si>
    <r>
      <t>Diameter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</si>
  <si>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Length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</si>
  <si>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Absolute roughness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</si>
  <si>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t>D_P1</t>
  </si>
  <si>
    <t>D_P2</t>
  </si>
  <si>
    <t>D_P3</t>
  </si>
  <si>
    <t>D_P4</t>
  </si>
  <si>
    <t>D_P5</t>
  </si>
  <si>
    <t>D_P6</t>
  </si>
  <si>
    <t>D_P7</t>
  </si>
  <si>
    <t>L_P1</t>
  </si>
  <si>
    <t>L_P2</t>
  </si>
  <si>
    <t>L_P3</t>
  </si>
  <si>
    <t>L_P4</t>
  </si>
  <si>
    <t>L_P5</t>
  </si>
  <si>
    <t>L_P6</t>
  </si>
  <si>
    <t>L_P7</t>
  </si>
  <si>
    <t>e_P1</t>
  </si>
  <si>
    <t>e_P2</t>
  </si>
  <si>
    <t>e_P3</t>
  </si>
  <si>
    <t>e_P4</t>
  </si>
  <si>
    <t>e_P5</t>
  </si>
  <si>
    <t>e_P6</t>
  </si>
  <si>
    <t>e_P7</t>
  </si>
  <si>
    <t>D_J2</t>
  </si>
  <si>
    <t>D_J3</t>
  </si>
  <si>
    <t>D_J6</t>
  </si>
  <si>
    <t>D_J7</t>
  </si>
  <si>
    <t>C_J2</t>
  </si>
  <si>
    <t>C_J3</t>
  </si>
  <si>
    <t>C_J6</t>
  </si>
  <si>
    <t>C_J7</t>
  </si>
  <si>
    <t>A_J2</t>
  </si>
  <si>
    <t>A_J3</t>
  </si>
  <si>
    <t>A_J6</t>
  </si>
  <si>
    <t>A_J7</t>
  </si>
  <si>
    <t>e_J2</t>
  </si>
  <si>
    <t>e_J3</t>
  </si>
  <si>
    <t>e_J6</t>
  </si>
  <si>
    <t>e_J7</t>
  </si>
  <si>
    <r>
      <t>Curvature radius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</si>
  <si>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Angle (</t>
    </r>
    <r>
      <rPr>
        <sz val="11"/>
        <color rgb="FF7030A0"/>
        <rFont val="Calibri"/>
        <family val="2"/>
        <scheme val="minor"/>
      </rPr>
      <t>°</t>
    </r>
    <r>
      <rPr>
        <sz val="11"/>
        <color theme="1"/>
        <rFont val="Calibri"/>
        <family val="2"/>
        <scheme val="minor"/>
      </rPr>
      <t>)</t>
    </r>
  </si>
  <si>
    <t>= SplineInterpolation(Q_J5;$B$45:$B$52;$C$45:$C$52;Cd)</t>
  </si>
  <si>
    <t>= SplineInterpolation(Q_J5;$B$57:$B$64;$C$57:$C$64;Cd)</t>
  </si>
  <si>
    <t>m fluid</t>
  </si>
  <si>
    <t>Heat Exchanger pressure loss</t>
  </si>
  <si>
    <t>Pump Head</t>
  </si>
  <si>
    <t>Pipe pressure loss</t>
  </si>
  <si>
    <t>Bend pressure loss</t>
  </si>
  <si>
    <t>Static pressure at node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</si>
  <si>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</si>
  <si>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</si>
  <si>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</si>
  <si>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</si>
  <si>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</si>
  <si>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</si>
  <si>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</si>
  <si>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</si>
  <si>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</si>
  <si>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n10</t>
  </si>
  <si>
    <t>n11</t>
  </si>
  <si>
    <t>n12</t>
  </si>
  <si>
    <t>n13</t>
  </si>
  <si>
    <t>n14</t>
  </si>
  <si>
    <t>= P_n1 - dP_P4</t>
  </si>
  <si>
    <t>= P_n2 + P_J5</t>
  </si>
  <si>
    <t>= P_n3 - dP_P5</t>
  </si>
  <si>
    <t>= P_n4 - dP_J6</t>
  </si>
  <si>
    <t>= P_n5 - dP_P6</t>
  </si>
  <si>
    <t>= P_n6 - dP_J7</t>
  </si>
  <si>
    <t>= P_n7 - dP_P7</t>
  </si>
  <si>
    <t>= P_n8 - dP_J1</t>
  </si>
  <si>
    <t>= P_n9 - dP_P1</t>
  </si>
  <si>
    <t>= P_n10 - dP_J2</t>
  </si>
  <si>
    <t>= P_n11 - dP_P2</t>
  </si>
  <si>
    <t>= P_n12 - dP_J3</t>
  </si>
  <si>
    <t>= P_n13 - dP_P3</t>
  </si>
  <si>
    <t>= P_n14 - P_n1</t>
  </si>
  <si>
    <t>System</t>
  </si>
  <si>
    <t xml:space="preserve"> =  ( H_J5 / Q_J5^2 ) * S54^2</t>
  </si>
  <si>
    <t xml:space="preserve"> =  ( H_J5 / Q_J5^2 ) * S55^2</t>
  </si>
  <si>
    <t xml:space="preserve"> =  ( H_J5 / Q_J5^2 ) * S56^2</t>
  </si>
  <si>
    <t xml:space="preserve"> =  ( H_J5 / Q_J5^2 ) * S57^2</t>
  </si>
  <si>
    <t xml:space="preserve"> =  ( H_J5 / Q_J5^2 ) * S58^2</t>
  </si>
  <si>
    <t>Heat Exchanger J1</t>
  </si>
  <si>
    <t>Content of neighboring cell</t>
  </si>
  <si>
    <t xml:space="preserve">     P_n14 - P_n1 = 0</t>
  </si>
  <si>
    <t>R2022a</t>
  </si>
  <si>
    <t>Constraints</t>
  </si>
  <si>
    <t>The use of the HydrauCalcXL library imposes positive flowrates in all the branches of the studied system,</t>
  </si>
  <si>
    <t>which requires knowing the direction of fluid flow in each branch.</t>
  </si>
  <si>
    <t>Description of the contents of the worksheet:</t>
  </si>
  <si>
    <t>• The input data is represented by the formatted cells as follows:</t>
  </si>
  <si>
    <t>Characteristics of the fluid:</t>
  </si>
  <si>
    <t>Pressure in the loop imposed upstream of the pump</t>
  </si>
  <si>
    <t>Pressure upstream of the pump:</t>
  </si>
  <si>
    <t>Characteristics of pipes:</t>
  </si>
  <si>
    <t>Characteristics of bend:</t>
  </si>
  <si>
    <t>Heat exchangers pressure loss:</t>
  </si>
  <si>
    <t>Pump head:</t>
  </si>
  <si>
    <t>The pump head is only used in the graphic of the system working point.</t>
  </si>
  <si>
    <t>• The calculations performed using the functions of the HydrauCalcXL add-in are represented by the cells formatted as follows:</t>
  </si>
  <si>
    <t>The functions used are recalled in gray text.</t>
  </si>
  <si>
    <t>Pressure loss in the components:</t>
  </si>
  <si>
    <t>Pump static head:</t>
  </si>
  <si>
    <t>= StaticPressure_H_Rho_g(H_J5;rho)</t>
  </si>
  <si>
    <t>• The calculations performed using functions built into Excel are represented by cells formatted as follows:</t>
  </si>
  <si>
    <t>Nodes static pressure:</t>
  </si>
  <si>
    <t>System characteristic:</t>
  </si>
  <si>
    <t xml:space="preserve">The pressure drop of the system is plotted by assuming a law in Q² from the operating point </t>
  </si>
  <si>
    <t>Evolution of pressure in the loop:</t>
  </si>
  <si>
    <t>• Solver data for finding a solution:</t>
  </si>
  <si>
    <t>In the present system, these initial guesses made it possible to find the solution:</t>
  </si>
  <si>
    <t>The necessary data for the solver are:</t>
  </si>
  <si>
    <t>To use Solver, the problem can be viewed as a system of one equation</t>
  </si>
  <si>
    <t xml:space="preserve"> for one unknown who is the flowrate inthe loop.</t>
  </si>
  <si>
    <t>the variable cell which, in our case, is the flowrate in the loop Q_J5 (cell R8),</t>
  </si>
  <si>
    <t>the constraint to be respected (cell R10).</t>
  </si>
  <si>
    <t>The following window is displayed if the solver find a solution.</t>
  </si>
  <si>
    <t>The result obtained is presented in the following figure:</t>
  </si>
  <si>
    <t>Description of the system:</t>
  </si>
  <si>
    <t>The system is made up of:</t>
  </si>
  <si>
    <t xml:space="preserve">Type = Centrifugal, Sizing, Volumetric Flow Rate </t>
  </si>
  <si>
    <t xml:space="preserve">Flow rate = 25 m3/hr </t>
  </si>
  <si>
    <t>6 meters @ 0 m3/hr</t>
  </si>
  <si>
    <t>5.5 meters @ 25 m3/hr</t>
  </si>
  <si>
    <t>3.5 meters @ 50 m3/hr</t>
  </si>
  <si>
    <t xml:space="preserve">Assigned Pressure J4 </t>
  </si>
  <si>
    <t xml:space="preserve">Pressure = 7 bar stagnation </t>
  </si>
  <si>
    <t xml:space="preserve"> Elbows J2, J3, J6, J7 (r/d = 0.8 r=8.180832)</t>
  </si>
  <si>
    <t xml:space="preserve">All elbows are "Standard Elbows" with 90 degree bend </t>
  </si>
  <si>
    <t xml:space="preserve">Pipe Properties </t>
  </si>
  <si>
    <t xml:space="preserve">All Pipes - Material = Steel - ANSI, Size = 4 inch, Type = STD (schedule 40), Friction Model = Standard </t>
  </si>
  <si>
    <t xml:space="preserve">Pipes P1, P5, P7 </t>
  </si>
  <si>
    <t xml:space="preserve">length = 60 meters </t>
  </si>
  <si>
    <t xml:space="preserve">Pipes P3, P4 </t>
  </si>
  <si>
    <t xml:space="preserve">length = 30 meters </t>
  </si>
  <si>
    <t xml:space="preserve">Pipes P2, P6 </t>
  </si>
  <si>
    <t xml:space="preserve">length = 5 meters </t>
  </si>
  <si>
    <t>25 m3/hr and 0.35 bar</t>
  </si>
  <si>
    <t>The assumptions are:</t>
  </si>
  <si>
    <t>The characteristics of the fluid are known.</t>
  </si>
  <si>
    <t>The geometry of the components is known.</t>
  </si>
  <si>
    <t>All the components are located in the same plane.</t>
  </si>
  <si>
    <t>Resolution of problem:</t>
  </si>
  <si>
    <t>For this, we use Excel's equations solver (which requires the solver to be installed into Excel).</t>
  </si>
  <si>
    <t>At each iteration, the pressure drop of all the components of the system is calculated using the functions integrated in HydrauCalcXL.</t>
  </si>
  <si>
    <t>When the solver does not find a solution to the problem, it is sometimes necessary to modify the initial guesses.</t>
  </si>
  <si>
    <t>Remarks:</t>
  </si>
  <si>
    <t>In this calculation case, the determination of the flowrate in the loop requires a certain number of iterations.</t>
  </si>
  <si>
    <t>and the desired flowrate is reached when the pressures at nodes 1 and 14 have the same value.</t>
  </si>
  <si>
    <t>The use of the solver for the flowrate giving an estimate of the value of the flowrate.</t>
  </si>
  <si>
    <t>Note 1:</t>
  </si>
  <si>
    <t>Cells containing input data or calculated values are named using Excel's Name Manager.</t>
  </si>
  <si>
    <t>This allows you to manipulate variable names in functions rather than cell addresses.</t>
  </si>
  <si>
    <t>When the cell is named, the name of the cell is recalled to the left of it by a fuschia-colored text.</t>
  </si>
  <si>
    <t>Note 2:</t>
  </si>
  <si>
    <t>A particular cell named "Cd" makes it possible, when setting up the functions for calculating the components,</t>
  </si>
  <si>
    <t>to deactivate all error messages due to unspecified parameters which take the value 0 by default,</t>
  </si>
  <si>
    <t>and which causes divisions by 0 (# DIV / 0!).</t>
  </si>
  <si>
    <t>and data out of validity limits.</t>
  </si>
  <si>
    <t>It is advised to assign the value 0 to this cell during the modelling of the system,</t>
  </si>
  <si>
    <t>and the value 1 during the execution of the calculations.</t>
  </si>
  <si>
    <t>Comparison of results with the reference:</t>
  </si>
  <si>
    <t>Example: cell E20 has the name "rho" which will be used in functions having density as a parameter.</t>
  </si>
  <si>
    <t>= BendSmoothCircularCrossSection_dP(D_J2;C_J2;A_J2;e_J2;Q_J5;rho;nu;Cd;;;;L45)</t>
  </si>
  <si>
    <t>= BendSmoothCircularCrossSection_dP(D_J3;C_J3;A_J3;e_J3;Q_J5;rho;nu;Cd;;;;L46)</t>
  </si>
  <si>
    <t>= BendSmoothCircularCrossSection_dP(D_J6;C_J6;A_J6;e_J6;Q_J5;rho;nu;1Cd;;;;L47)</t>
  </si>
  <si>
    <t>= BendSmoothCircularCrossSection_dP(D_J7;C_J7;A_J7;e_J7;Q_J5;rho;nu;1Cd;;;;L48)</t>
  </si>
  <si>
    <t>= PipeStraightCircularCrossSection_dP(D_P1;L_P1;Q_J5;rho;nu;2;e_P1;;;Cd;L36)</t>
  </si>
  <si>
    <t>= PipeStraightCircularCrossSection_dP(D_P2;L_P2;Q_J5;rho;nu;2;e_P2;;;Cd;L37)</t>
  </si>
  <si>
    <t>= PipeStraightCircularCrossSection_dP(D_P3;L_P3;Q_J5;rho;nu;2;e_P3;;;Cd;L38)</t>
  </si>
  <si>
    <t>= PipeStraightCircularCrossSection_dP(D_P4;L_P4;Q_J5;rho;nu;2;e_P4;;;Cd;L39)</t>
  </si>
  <si>
    <t>= PipeStraightCircularCrossSection_dP(D_P5;L_P5;Q_J5;rho;nu;2;e_P5;;;Cd;L40)</t>
  </si>
  <si>
    <t>= PipeStraightCircularCrossSection_dP(D_P6;L_P6;Q_J5;rho;nu;2;e_P6;;;Cd;L41)</t>
  </si>
  <si>
    <t>= PipeStraightCircularCrossSection_dP(D_P7;L_P7;Q_J5;rho;nu;2;e_P7;;;Cd;L42)</t>
  </si>
  <si>
    <t>HydrauCalcXL</t>
  </si>
  <si>
    <t>Important notes:</t>
  </si>
  <si>
    <t>Before each new execution of the solver, it is advisable to replace the variable cells by the initial guesses.</t>
  </si>
  <si>
    <t>Sometimes the solver does not find a solution when it is restarted while keeping the variable cells</t>
  </si>
  <si>
    <t>resulting from the previous calculation.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</si>
</sst>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00"/>
    <numFmt numFmtId="165" formatCode="0.00000"/>
    <numFmt numFmtId="166" formatCode="0.000000"/>
    <numFmt numFmtId="167" formatCode="0.000E+00"/>
    <numFmt numFmtId="168" formatCode="0.0000E+00"/>
    <numFmt numFmtId="169" formatCode="0.000%"/>
    <numFmt numFmtId="170" formatCode="0.000"/>
    <numFmt numFmtId="171" formatCode="0.0000000"/>
    <numFmt numFmtId="172" formatCode="0.0"/>
  </numFmts>
  <fonts count="25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8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11"/>
      <color rgb="FF548235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rgb="FF538DD5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3DEF8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ck">
        <color rgb="FF548235"/>
      </left>
      <right/>
      <top style="thick">
        <color rgb="FF548235"/>
      </top>
      <bottom style="thick">
        <color rgb="FF548235"/>
      </bottom>
      <diagonal/>
    </border>
    <border>
      <left/>
      <right/>
      <top style="thick">
        <color rgb="FF548235"/>
      </top>
      <bottom style="thick">
        <color rgb="FF548235"/>
      </bottom>
      <diagonal/>
    </border>
    <border>
      <left/>
      <right style="thick">
        <color rgb="FF548235"/>
      </right>
      <top style="thick">
        <color rgb="FF548235"/>
      </top>
      <bottom style="thick">
        <color rgb="FF548235"/>
      </bottom>
      <diagonal/>
    </border>
    <border>
      <left style="thick">
        <color rgb="FF548235"/>
      </left>
      <right style="thin">
        <color rgb="FF548235"/>
      </right>
      <top style="thick">
        <color rgb="FF548235"/>
      </top>
      <bottom style="thick">
        <color rgb="FF548235"/>
      </bottom>
      <diagonal/>
    </border>
    <border>
      <left style="thin">
        <color rgb="FF548235"/>
      </left>
      <right style="thin">
        <color rgb="FF548235"/>
      </right>
      <top style="thick">
        <color rgb="FF548235"/>
      </top>
      <bottom style="thick">
        <color rgb="FF548235"/>
      </bottom>
      <diagonal/>
    </border>
    <border>
      <left style="thin">
        <color rgb="FF548235"/>
      </left>
      <right style="thick">
        <color rgb="FF548235"/>
      </right>
      <top style="thick">
        <color rgb="FF548235"/>
      </top>
      <bottom style="thick">
        <color rgb="FF548235"/>
      </bottom>
      <diagonal/>
    </border>
    <border>
      <left style="medium">
        <color rgb="FFFABF8F"/>
      </left>
      <right style="medium">
        <color rgb="FFFABF8F"/>
      </right>
      <top style="medium">
        <color rgb="FFFABF8F"/>
      </top>
      <bottom style="medium">
        <color rgb="FFFABF8F"/>
      </bottom>
      <diagonal/>
    </border>
    <border>
      <left style="medium">
        <color rgb="FF76933C"/>
      </left>
      <right style="medium">
        <color rgb="FF76933C"/>
      </right>
      <top style="medium">
        <color rgb="FF76933C"/>
      </top>
      <bottom style="medium">
        <color rgb="FF76933C"/>
      </bottom>
      <diagonal/>
    </border>
    <border>
      <left style="medium">
        <color rgb="FF482CBC"/>
      </left>
      <right style="medium">
        <color rgb="FF482CBC"/>
      </right>
      <top style="medium">
        <color rgb="FF482CBC"/>
      </top>
      <bottom style="medium">
        <color rgb="FF482CBC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70">
    <xf numFmtId="0" fontId="0" fillId="0" borderId="0" xfId="0"/>
    <xf numFmtId="0" fontId="3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0" fontId="10" fillId="0" borderId="0" xfId="0" applyFont="1"/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4" fillId="0" borderId="0" xfId="0" quotePrefix="1" applyFont="1"/>
    <xf numFmtId="167" fontId="2" fillId="0" borderId="0" xfId="0" applyNumberFormat="1" applyFont="1" applyBorder="1" applyAlignment="1">
      <alignment horizontal="center"/>
    </xf>
    <xf numFmtId="170" fontId="12" fillId="0" borderId="0" xfId="0" applyNumberFormat="1" applyFont="1" applyAlignment="1">
      <alignment horizontal="left"/>
    </xf>
    <xf numFmtId="0" fontId="0" fillId="0" borderId="0" xfId="0" applyAlignment="1">
      <alignment horizontal="right"/>
    </xf>
    <xf numFmtId="170" fontId="0" fillId="0" borderId="0" xfId="0" applyNumberFormat="1" applyAlignment="1">
      <alignment horizontal="right"/>
    </xf>
    <xf numFmtId="0" fontId="9" fillId="0" borderId="4" xfId="0" applyFont="1" applyBorder="1" applyAlignment="1">
      <alignment horizontal="center"/>
    </xf>
    <xf numFmtId="166" fontId="11" fillId="0" borderId="5" xfId="0" applyNumberFormat="1" applyFont="1" applyBorder="1" applyAlignment="1">
      <alignment horizontal="center"/>
    </xf>
    <xf numFmtId="169" fontId="4" fillId="0" borderId="6" xfId="1" applyNumberFormat="1" applyFont="1" applyBorder="1" applyAlignment="1">
      <alignment horizontal="center"/>
    </xf>
    <xf numFmtId="171" fontId="4" fillId="0" borderId="5" xfId="0" applyNumberFormat="1" applyFont="1" applyBorder="1" applyAlignment="1">
      <alignment horizontal="center"/>
    </xf>
    <xf numFmtId="0" fontId="11" fillId="0" borderId="0" xfId="0" applyFont="1"/>
    <xf numFmtId="0" fontId="0" fillId="0" borderId="0" xfId="0" applyAlignment="1"/>
    <xf numFmtId="0" fontId="14" fillId="0" borderId="0" xfId="0" applyFont="1"/>
    <xf numFmtId="0" fontId="13" fillId="0" borderId="0" xfId="2"/>
    <xf numFmtId="0" fontId="15" fillId="0" borderId="0" xfId="0" applyFont="1"/>
    <xf numFmtId="0" fontId="0" fillId="2" borderId="7" xfId="0" applyFill="1" applyBorder="1" applyAlignment="1">
      <alignment horizontal="center"/>
    </xf>
    <xf numFmtId="0" fontId="11" fillId="0" borderId="0" xfId="0" quotePrefix="1" applyFont="1"/>
    <xf numFmtId="0" fontId="0" fillId="3" borderId="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16" fillId="0" borderId="0" xfId="0" applyFont="1"/>
    <xf numFmtId="0" fontId="10" fillId="0" borderId="0" xfId="0" applyFont="1" applyAlignment="1">
      <alignment horizontal="center"/>
    </xf>
    <xf numFmtId="0" fontId="9" fillId="0" borderId="0" xfId="0" applyFont="1"/>
    <xf numFmtId="168" fontId="9" fillId="0" borderId="0" xfId="0" applyNumberFormat="1" applyFont="1"/>
    <xf numFmtId="168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0" fillId="2" borderId="7" xfId="0" applyNumberFormat="1" applyFill="1" applyBorder="1" applyAlignment="1">
      <alignment horizontal="center"/>
    </xf>
    <xf numFmtId="167" fontId="0" fillId="2" borderId="7" xfId="0" applyNumberFormat="1" applyFill="1" applyBorder="1" applyAlignment="1">
      <alignment horizontal="center"/>
    </xf>
    <xf numFmtId="0" fontId="16" fillId="0" borderId="0" xfId="0" applyFont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0" fontId="15" fillId="5" borderId="0" xfId="0" applyFont="1" applyFill="1"/>
    <xf numFmtId="0" fontId="0" fillId="5" borderId="0" xfId="0" applyFill="1"/>
    <xf numFmtId="0" fontId="11" fillId="5" borderId="0" xfId="0" applyFont="1" applyFill="1"/>
    <xf numFmtId="0" fontId="0" fillId="5" borderId="0" xfId="0" applyFill="1" applyAlignment="1">
      <alignment horizontal="center"/>
    </xf>
    <xf numFmtId="0" fontId="10" fillId="5" borderId="0" xfId="0" applyFont="1" applyFill="1" applyAlignment="1">
      <alignment horizontal="center"/>
    </xf>
    <xf numFmtId="0" fontId="16" fillId="5" borderId="0" xfId="0" applyFont="1" applyFill="1"/>
    <xf numFmtId="0" fontId="17" fillId="0" borderId="0" xfId="0" quotePrefix="1" applyFont="1"/>
    <xf numFmtId="172" fontId="0" fillId="5" borderId="8" xfId="0" applyNumberFormat="1" applyFill="1" applyBorder="1" applyAlignment="1">
      <alignment horizontal="center"/>
    </xf>
    <xf numFmtId="165" fontId="15" fillId="0" borderId="0" xfId="0" applyNumberFormat="1" applyFont="1"/>
    <xf numFmtId="165" fontId="1" fillId="0" borderId="0" xfId="0" applyNumberFormat="1" applyFont="1"/>
    <xf numFmtId="1" fontId="0" fillId="4" borderId="9" xfId="0" applyNumberFormat="1" applyFill="1" applyBorder="1" applyAlignment="1">
      <alignment horizontal="center"/>
    </xf>
    <xf numFmtId="170" fontId="0" fillId="4" borderId="9" xfId="0" applyNumberFormat="1" applyFill="1" applyBorder="1" applyAlignment="1">
      <alignment horizontal="center"/>
    </xf>
    <xf numFmtId="0" fontId="12" fillId="0" borderId="0" xfId="0" applyFont="1"/>
    <xf numFmtId="1" fontId="0" fillId="5" borderId="8" xfId="0" applyNumberFormat="1" applyFill="1" applyBorder="1" applyAlignment="1">
      <alignment horizontal="center"/>
    </xf>
    <xf numFmtId="170" fontId="0" fillId="2" borderId="7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1" fontId="18" fillId="0" borderId="0" xfId="0" applyNumberFormat="1" applyFont="1" applyAlignment="1">
      <alignment horizontal="center"/>
    </xf>
    <xf numFmtId="166" fontId="0" fillId="3" borderId="8" xfId="0" applyNumberFormat="1" applyFill="1" applyBorder="1" applyAlignment="1">
      <alignment horizontal="center"/>
    </xf>
    <xf numFmtId="0" fontId="9" fillId="5" borderId="0" xfId="0" quotePrefix="1" applyFont="1" applyFill="1"/>
    <xf numFmtId="0" fontId="19" fillId="0" borderId="0" xfId="2" applyFont="1"/>
    <xf numFmtId="0" fontId="20" fillId="0" borderId="0" xfId="0" applyFont="1"/>
    <xf numFmtId="0" fontId="17" fillId="0" borderId="0" xfId="0" applyFont="1"/>
    <xf numFmtId="0" fontId="21" fillId="0" borderId="0" xfId="0" applyFont="1"/>
    <xf numFmtId="0" fontId="22" fillId="0" borderId="0" xfId="0" applyFont="1"/>
    <xf numFmtId="0" fontId="0" fillId="5" borderId="8" xfId="0" applyNumberFormat="1" applyFill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0" fontId="24" fillId="0" borderId="0" xfId="0" applyFont="1"/>
    <xf numFmtId="0" fontId="23" fillId="0" borderId="1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1464F4"/>
      <color rgb="FF548235"/>
      <color rgb="FFF040D7"/>
      <color rgb="FFED7D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200"/>
              <a:t>Heat Exchanger J1 </a:t>
            </a:r>
            <a:r>
              <a:rPr lang="fr-FR" sz="1200" baseline="0"/>
              <a:t>- Pressure loss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4416828645005969"/>
          <c:y val="0.20356320610835332"/>
          <c:w val="0.79212922308501055"/>
          <c:h val="0.54274177395188461"/>
        </c:manualLayout>
      </c:layout>
      <c:scatterChart>
        <c:scatterStyle val="smoothMarker"/>
        <c:varyColors val="0"/>
        <c:ser>
          <c:idx val="3"/>
          <c:order val="0"/>
          <c:tx>
            <c:v>Heat exchanger curve J1</c:v>
          </c:tx>
          <c:spPr>
            <a:ln w="28575">
              <a:solidFill>
                <a:schemeClr val="accent4"/>
              </a:solidFill>
            </a:ln>
            <a:effectLst/>
          </c:spPr>
          <c:marker>
            <c:symbol val="none"/>
          </c:marker>
          <c:xVal>
            <c:numRef>
              <c:f>System!$B$47:$B$52</c:f>
              <c:numCache>
                <c:formatCode>0.0000</c:formatCode>
                <c:ptCount val="6"/>
                <c:pt idx="0">
                  <c:v>0</c:v>
                </c:pt>
                <c:pt idx="1">
                  <c:v>2E-3</c:v>
                </c:pt>
                <c:pt idx="2">
                  <c:v>4.0000000000000001E-3</c:v>
                </c:pt>
                <c:pt idx="3">
                  <c:v>6.0000000000000001E-3</c:v>
                </c:pt>
                <c:pt idx="4">
                  <c:v>8.0000000000000002E-3</c:v>
                </c:pt>
                <c:pt idx="5">
                  <c:v>0.01</c:v>
                </c:pt>
              </c:numCache>
            </c:numRef>
          </c:xVal>
          <c:yVal>
            <c:numRef>
              <c:f>System!$C$47:$C$52</c:f>
              <c:numCache>
                <c:formatCode>0</c:formatCode>
                <c:ptCount val="6"/>
                <c:pt idx="0">
                  <c:v>0</c:v>
                </c:pt>
                <c:pt idx="1">
                  <c:v>2903</c:v>
                </c:pt>
                <c:pt idx="2">
                  <c:v>11612</c:v>
                </c:pt>
                <c:pt idx="3">
                  <c:v>26127</c:v>
                </c:pt>
                <c:pt idx="4">
                  <c:v>46448</c:v>
                </c:pt>
                <c:pt idx="5">
                  <c:v>72576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60D-4CC1-9DEB-A7D13B9F68E9}"/>
            </c:ext>
          </c:extLst>
        </c:ser>
        <c:ser>
          <c:idx val="0"/>
          <c:order val="1"/>
          <c:tx>
            <c:v>Working point</c:v>
          </c:tx>
          <c:spPr>
            <a:ln w="28575">
              <a:noFill/>
            </a:ln>
            <a:effectLst/>
          </c:spPr>
          <c:marker>
            <c:symbol val="circle"/>
            <c:size val="4"/>
            <c:spPr>
              <a:solidFill>
                <a:schemeClr val="accent2"/>
              </a:solidFill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System!$R$8</c:f>
              <c:numCache>
                <c:formatCode>0.000000</c:formatCode>
                <c:ptCount val="1"/>
                <c:pt idx="0">
                  <c:v>6.9648772319628348E-3</c:v>
                </c:pt>
              </c:numCache>
            </c:numRef>
          </c:xVal>
          <c:yVal>
            <c:numRef>
              <c:f>System!$N$33</c:f>
              <c:numCache>
                <c:formatCode>0</c:formatCode>
                <c:ptCount val="1"/>
                <c:pt idx="0">
                  <c:v>35130.74609375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59B-4054-9A5F-4E4661052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047624"/>
        <c:axId val="779045984"/>
      </c:scatterChart>
      <c:valAx>
        <c:axId val="779047624"/>
        <c:scaling>
          <c:orientation val="minMax"/>
          <c:max val="9.0000000000000028E-3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flowrate (m³/s)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5984"/>
        <c:crosses val="autoZero"/>
        <c:crossBetween val="midCat"/>
        <c:majorUnit val="1.0000000000000002E-3"/>
      </c:valAx>
      <c:valAx>
        <c:axId val="77904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Pressure loss (Pa)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7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9909642946021469"/>
          <c:y val="0.23533782979829806"/>
          <c:w val="0.36030231571469445"/>
          <c:h val="0.202684755622846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Pump J5 - Head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021128608923884"/>
          <c:y val="0.23074352740025095"/>
          <c:w val="0.81464041994750658"/>
          <c:h val="0.51718795243851434"/>
        </c:manualLayout>
      </c:layout>
      <c:scatterChart>
        <c:scatterStyle val="smoothMarker"/>
        <c:varyColors val="0"/>
        <c:ser>
          <c:idx val="2"/>
          <c:order val="0"/>
          <c:tx>
            <c:v>Pump Curve J5</c:v>
          </c:tx>
          <c:spPr>
            <a:ln w="28575">
              <a:solidFill>
                <a:schemeClr val="accent5"/>
              </a:solidFill>
            </a:ln>
            <a:effectLst/>
          </c:spPr>
          <c:marker>
            <c:symbol val="none"/>
          </c:marker>
          <c:xVal>
            <c:numRef>
              <c:f>System!$B$57:$B$61</c:f>
              <c:numCache>
                <c:formatCode>0.0000</c:formatCode>
                <c:ptCount val="5"/>
                <c:pt idx="0">
                  <c:v>0</c:v>
                </c:pt>
                <c:pt idx="1">
                  <c:v>2.5000000000000001E-3</c:v>
                </c:pt>
                <c:pt idx="2">
                  <c:v>5.0000000000000001E-3</c:v>
                </c:pt>
                <c:pt idx="3">
                  <c:v>7.4999999999999997E-3</c:v>
                </c:pt>
                <c:pt idx="4">
                  <c:v>0.01</c:v>
                </c:pt>
              </c:numCache>
            </c:numRef>
          </c:xVal>
          <c:yVal>
            <c:numRef>
              <c:f>System!$C$57:$C$61</c:f>
              <c:numCache>
                <c:formatCode>0.000</c:formatCode>
                <c:ptCount val="5"/>
                <c:pt idx="0">
                  <c:v>6</c:v>
                </c:pt>
                <c:pt idx="1">
                  <c:v>5.9927999999999999</c:v>
                </c:pt>
                <c:pt idx="2">
                  <c:v>5.7911999999999999</c:v>
                </c:pt>
                <c:pt idx="3">
                  <c:v>5.3952</c:v>
                </c:pt>
                <c:pt idx="4">
                  <c:v>4.8048000000000002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7BA-4DCA-B41C-DF0E7E05E175}"/>
            </c:ext>
          </c:extLst>
        </c:ser>
        <c:ser>
          <c:idx val="0"/>
          <c:order val="1"/>
          <c:tx>
            <c:v>Working point</c:v>
          </c:tx>
          <c:spPr>
            <a:ln w="12700">
              <a:noFill/>
              <a:prstDash val="solid"/>
            </a:ln>
            <a:effectLst/>
          </c:spPr>
          <c:marker>
            <c:symbol val="circle"/>
            <c:size val="4"/>
            <c:spPr>
              <a:solidFill>
                <a:schemeClr val="accent2"/>
              </a:solidFill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marker>
          <c:dPt>
            <c:idx val="0"/>
            <c:marker>
              <c:symbol val="circle"/>
              <c:size val="4"/>
              <c:spPr>
                <a:solidFill>
                  <a:schemeClr val="accent2"/>
                </a:solidFill>
                <a:ln w="9525" cap="flat" cmpd="sng" algn="ctr">
                  <a:solidFill>
                    <a:schemeClr val="accent2"/>
                  </a:solidFill>
                  <a:round/>
                </a:ln>
                <a:effectLst/>
              </c:spPr>
            </c:marker>
            <c:bubble3D val="0"/>
            <c:spPr>
              <a:ln w="28575">
                <a:noFill/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3-D9CF-4CBE-A069-414FBE8F3A8B}"/>
              </c:ext>
            </c:extLst>
          </c:dPt>
          <c:xVal>
            <c:numRef>
              <c:f>System!$R$8</c:f>
              <c:numCache>
                <c:formatCode>0.000000</c:formatCode>
                <c:ptCount val="1"/>
                <c:pt idx="0">
                  <c:v>6.9648772319628348E-3</c:v>
                </c:pt>
              </c:numCache>
            </c:numRef>
          </c:xVal>
          <c:yVal>
            <c:numRef>
              <c:f>System!$N$29</c:f>
              <c:numCache>
                <c:formatCode>0.000</c:formatCode>
                <c:ptCount val="1"/>
                <c:pt idx="0">
                  <c:v>5.4981513023376465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5B8-413E-A7C3-2D8CC0EF6A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047624"/>
        <c:axId val="779045984"/>
      </c:scatterChart>
      <c:valAx>
        <c:axId val="779047624"/>
        <c:scaling>
          <c:orientation val="minMax"/>
          <c:max val="9.0000000000000028E-3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flowrate (m³/s)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5984"/>
        <c:crosses val="autoZero"/>
        <c:crossBetween val="midCat"/>
        <c:majorUnit val="1.0000000000000002E-3"/>
      </c:valAx>
      <c:valAx>
        <c:axId val="77904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Head (m fluid)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7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099488319846148"/>
          <c:y val="0.52390091727437038"/>
          <c:w val="0.27780363133821701"/>
          <c:h val="0.19803094823547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System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8.4981018854677043E-2"/>
          <c:y val="0.15390726563628487"/>
          <c:w val="0.83987065347035528"/>
          <c:h val="0.66605812781282203"/>
        </c:manualLayout>
      </c:layout>
      <c:scatterChart>
        <c:scatterStyle val="smoothMarker"/>
        <c:varyColors val="0"/>
        <c:ser>
          <c:idx val="2"/>
          <c:order val="0"/>
          <c:tx>
            <c:v>Pump Curve J5</c:v>
          </c:tx>
          <c:spPr>
            <a:ln w="28575">
              <a:solidFill>
                <a:schemeClr val="accent5"/>
              </a:solidFill>
            </a:ln>
            <a:effectLst/>
          </c:spPr>
          <c:marker>
            <c:symbol val="none"/>
          </c:marker>
          <c:xVal>
            <c:numRef>
              <c:f>System!$B$57:$B$61</c:f>
              <c:numCache>
                <c:formatCode>0.0000</c:formatCode>
                <c:ptCount val="5"/>
                <c:pt idx="0">
                  <c:v>0</c:v>
                </c:pt>
                <c:pt idx="1">
                  <c:v>2.5000000000000001E-3</c:v>
                </c:pt>
                <c:pt idx="2">
                  <c:v>5.0000000000000001E-3</c:v>
                </c:pt>
                <c:pt idx="3">
                  <c:v>7.4999999999999997E-3</c:v>
                </c:pt>
                <c:pt idx="4">
                  <c:v>0.01</c:v>
                </c:pt>
              </c:numCache>
            </c:numRef>
          </c:xVal>
          <c:yVal>
            <c:numRef>
              <c:f>System!$C$57:$C$61</c:f>
              <c:numCache>
                <c:formatCode>0.000</c:formatCode>
                <c:ptCount val="5"/>
                <c:pt idx="0">
                  <c:v>6</c:v>
                </c:pt>
                <c:pt idx="1">
                  <c:v>5.9927999999999999</c:v>
                </c:pt>
                <c:pt idx="2">
                  <c:v>5.7911999999999999</c:v>
                </c:pt>
                <c:pt idx="3">
                  <c:v>5.3952</c:v>
                </c:pt>
                <c:pt idx="4">
                  <c:v>4.8048000000000002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7BA-4DCA-B41C-DF0E7E05E175}"/>
            </c:ext>
          </c:extLst>
        </c:ser>
        <c:ser>
          <c:idx val="1"/>
          <c:order val="1"/>
          <c:tx>
            <c:v>System curve</c:v>
          </c:tx>
          <c:spPr>
            <a:ln w="28575">
              <a:solidFill>
                <a:schemeClr val="accent6">
                  <a:lumMod val="75000"/>
                </a:schemeClr>
              </a:solidFill>
            </a:ln>
            <a:effectLst/>
          </c:spPr>
          <c:marker>
            <c:symbol val="none"/>
          </c:marker>
          <c:xVal>
            <c:numRef>
              <c:f>System!$W$9:$W$13</c:f>
              <c:numCache>
                <c:formatCode>0.0000</c:formatCode>
                <c:ptCount val="5"/>
                <c:pt idx="0">
                  <c:v>0</c:v>
                </c:pt>
                <c:pt idx="1">
                  <c:v>2.5000000000000001E-3</c:v>
                </c:pt>
                <c:pt idx="2">
                  <c:v>5.0000000000000001E-3</c:v>
                </c:pt>
                <c:pt idx="3">
                  <c:v>7.4999999999999997E-3</c:v>
                </c:pt>
                <c:pt idx="4">
                  <c:v>8.0000000000000002E-3</c:v>
                </c:pt>
              </c:numCache>
            </c:numRef>
          </c:xVal>
          <c:yVal>
            <c:numRef>
              <c:f>System!$X$9:$X$13</c:f>
              <c:numCache>
                <c:formatCode>General</c:formatCode>
                <c:ptCount val="5"/>
                <c:pt idx="0">
                  <c:v>0</c:v>
                </c:pt>
                <c:pt idx="1">
                  <c:v>0.70838567941557851</c:v>
                </c:pt>
                <c:pt idx="2">
                  <c:v>2.833542717662314</c:v>
                </c:pt>
                <c:pt idx="3">
                  <c:v>6.3754711147402059</c:v>
                </c:pt>
                <c:pt idx="4">
                  <c:v>7.2538693572155237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B2C-466A-A1DF-F85FBC806BFE}"/>
            </c:ext>
          </c:extLst>
        </c:ser>
        <c:ser>
          <c:idx val="0"/>
          <c:order val="2"/>
          <c:tx>
            <c:v>Working point</c:v>
          </c:tx>
          <c:spPr>
            <a:ln w="12700">
              <a:noFill/>
              <a:prstDash val="solid"/>
            </a:ln>
            <a:effectLst/>
          </c:spPr>
          <c:marker>
            <c:symbol val="circle"/>
            <c:size val="4"/>
            <c:spPr>
              <a:solidFill>
                <a:schemeClr val="accent2"/>
              </a:solidFill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marker>
          <c:dPt>
            <c:idx val="0"/>
            <c:marker>
              <c:symbol val="circle"/>
              <c:size val="4"/>
              <c:spPr>
                <a:solidFill>
                  <a:schemeClr val="accent2"/>
                </a:solidFill>
                <a:ln w="9525" cap="flat" cmpd="sng" algn="ctr">
                  <a:solidFill>
                    <a:schemeClr val="accent2"/>
                  </a:solidFill>
                  <a:round/>
                </a:ln>
                <a:effectLst/>
              </c:spPr>
            </c:marker>
            <c:bubble3D val="0"/>
            <c:spPr>
              <a:ln w="28575">
                <a:noFill/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3-D9CF-4CBE-A069-414FBE8F3A8B}"/>
              </c:ext>
            </c:extLst>
          </c:dPt>
          <c:xVal>
            <c:numRef>
              <c:f>System!$R$8</c:f>
              <c:numCache>
                <c:formatCode>0.000000</c:formatCode>
                <c:ptCount val="1"/>
                <c:pt idx="0">
                  <c:v>6.9648772319628348E-3</c:v>
                </c:pt>
              </c:numCache>
            </c:numRef>
          </c:xVal>
          <c:yVal>
            <c:numRef>
              <c:f>System!$N$29</c:f>
              <c:numCache>
                <c:formatCode>0.000</c:formatCode>
                <c:ptCount val="1"/>
                <c:pt idx="0">
                  <c:v>5.4981513023376465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5B8-413E-A7C3-2D8CC0EF6A4D}"/>
            </c:ext>
          </c:extLst>
        </c:ser>
        <c:ser>
          <c:idx val="3"/>
          <c:order val="3"/>
          <c:tx>
            <c:v/>
          </c:tx>
          <c:spPr>
            <a:ln w="12700">
              <a:solidFill>
                <a:schemeClr val="bg1">
                  <a:lumMod val="65000"/>
                </a:schemeClr>
              </a:solidFill>
              <a:prstDash val="dash"/>
            </a:ln>
            <a:effectLst/>
          </c:spPr>
          <c:marker>
            <c:symbol val="none"/>
          </c:marker>
          <c:xVal>
            <c:numRef>
              <c:f>(System!$R$8,System!$R$8)</c:f>
              <c:numCache>
                <c:formatCode>0.000000</c:formatCode>
                <c:ptCount val="2"/>
                <c:pt idx="0">
                  <c:v>6.9648772319628348E-3</c:v>
                </c:pt>
                <c:pt idx="1">
                  <c:v>6.9648772319628348E-3</c:v>
                </c:pt>
              </c:numCache>
            </c:numRef>
          </c:xVal>
          <c:yVal>
            <c:numRef>
              <c:f>System!$N$28:$N$29</c:f>
              <c:numCache>
                <c:formatCode>0.000</c:formatCode>
                <c:ptCount val="2"/>
                <c:pt idx="0" formatCode="0">
                  <c:v>0</c:v>
                </c:pt>
                <c:pt idx="1">
                  <c:v>5.4981513023376465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B2C-466A-A1DF-F85FBC806BFE}"/>
            </c:ext>
          </c:extLst>
        </c:ser>
        <c:ser>
          <c:idx val="4"/>
          <c:order val="4"/>
          <c:spPr>
            <a:ln w="12700">
              <a:solidFill>
                <a:schemeClr val="bg1">
                  <a:lumMod val="65000"/>
                </a:schemeClr>
              </a:solidFill>
              <a:prstDash val="dash"/>
            </a:ln>
            <a:effectLst/>
          </c:spPr>
          <c:marker>
            <c:symbol val="none"/>
          </c:marker>
          <c:xVal>
            <c:numRef>
              <c:f>(System!$N$28,System!$R$8)</c:f>
              <c:numCache>
                <c:formatCode>0.000000</c:formatCode>
                <c:ptCount val="2"/>
                <c:pt idx="0" formatCode="0">
                  <c:v>0</c:v>
                </c:pt>
                <c:pt idx="1">
                  <c:v>6.9648772319628348E-3</c:v>
                </c:pt>
              </c:numCache>
            </c:numRef>
          </c:xVal>
          <c:yVal>
            <c:numRef>
              <c:f>(System!$N$29,System!$N$29)</c:f>
              <c:numCache>
                <c:formatCode>0.000</c:formatCode>
                <c:ptCount val="2"/>
                <c:pt idx="0">
                  <c:v>5.4981513023376465</c:v>
                </c:pt>
                <c:pt idx="1">
                  <c:v>5.4981513023376465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180-42D4-A87E-CAC6B24B8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047624"/>
        <c:axId val="779045984"/>
      </c:scatterChart>
      <c:valAx>
        <c:axId val="779047624"/>
        <c:scaling>
          <c:orientation val="minMax"/>
          <c:max val="9.0000000000000028E-3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flowrate (m³/s)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5984"/>
        <c:crosses val="autoZero"/>
        <c:crossBetween val="midCat"/>
        <c:majorUnit val="1.0000000000000002E-3"/>
      </c:valAx>
      <c:valAx>
        <c:axId val="779045984"/>
        <c:scaling>
          <c:orientation val="minMax"/>
          <c:max val="7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Head (m fluid)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7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1346276708248568"/>
          <c:y val="0.36836011383256206"/>
          <c:w val="0.2759812739717365"/>
          <c:h val="0.21955156686150498"/>
        </c:manualLayout>
      </c:layout>
      <c:overlay val="0"/>
      <c:spPr>
        <a:solidFill>
          <a:schemeClr val="bg1"/>
        </a:solidFill>
        <a:ln>
          <a:solidFill>
            <a:schemeClr val="tx1">
              <a:alpha val="2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Pressure evolution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5288620252805743"/>
          <c:y val="0.15390726563628487"/>
          <c:w val="0.79391186032668071"/>
          <c:h val="0.6660581278128220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1"/>
              </a:solidFill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System!$P$14:$P$27</c:f>
              <c:strCache>
                <c:ptCount val="14"/>
                <c:pt idx="0">
                  <c:v>n1</c:v>
                </c:pt>
                <c:pt idx="1">
                  <c:v>n2</c:v>
                </c:pt>
                <c:pt idx="2">
                  <c:v>n3</c:v>
                </c:pt>
                <c:pt idx="3">
                  <c:v>n4</c:v>
                </c:pt>
                <c:pt idx="4">
                  <c:v>n5</c:v>
                </c:pt>
                <c:pt idx="5">
                  <c:v>n6</c:v>
                </c:pt>
                <c:pt idx="6">
                  <c:v>n7</c:v>
                </c:pt>
                <c:pt idx="7">
                  <c:v>n8</c:v>
                </c:pt>
                <c:pt idx="8">
                  <c:v>n9</c:v>
                </c:pt>
                <c:pt idx="9">
                  <c:v>n10</c:v>
                </c:pt>
                <c:pt idx="10">
                  <c:v>n11</c:v>
                </c:pt>
                <c:pt idx="11">
                  <c:v>n12</c:v>
                </c:pt>
                <c:pt idx="12">
                  <c:v>n13</c:v>
                </c:pt>
                <c:pt idx="13">
                  <c:v>n14</c:v>
                </c:pt>
              </c:strCache>
            </c:strRef>
          </c:cat>
          <c:val>
            <c:numRef>
              <c:f>System!$R$14:$R$27</c:f>
              <c:numCache>
                <c:formatCode>0</c:formatCode>
                <c:ptCount val="14"/>
                <c:pt idx="0">
                  <c:v>700000</c:v>
                </c:pt>
                <c:pt idx="1">
                  <c:v>697850.384765625</c:v>
                </c:pt>
                <c:pt idx="2">
                  <c:v>751666.849609375</c:v>
                </c:pt>
                <c:pt idx="3">
                  <c:v>747367.619140625</c:v>
                </c:pt>
                <c:pt idx="4">
                  <c:v>747174.55844116211</c:v>
                </c:pt>
                <c:pt idx="5">
                  <c:v>746816.28924560547</c:v>
                </c:pt>
                <c:pt idx="6">
                  <c:v>746623.22854614258</c:v>
                </c:pt>
                <c:pt idx="7">
                  <c:v>742323.99807739258</c:v>
                </c:pt>
                <c:pt idx="8">
                  <c:v>707193.25198364258</c:v>
                </c:pt>
                <c:pt idx="9">
                  <c:v>702894.02151489258</c:v>
                </c:pt>
                <c:pt idx="10">
                  <c:v>702700.96081542969</c:v>
                </c:pt>
                <c:pt idx="11">
                  <c:v>702342.69161987305</c:v>
                </c:pt>
                <c:pt idx="12">
                  <c:v>702149.63092041016</c:v>
                </c:pt>
                <c:pt idx="13">
                  <c:v>700000.01568603516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3FC-4FD4-ABC2-8C6BB67BC5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9047624"/>
        <c:axId val="779045984"/>
      </c:lineChart>
      <c:catAx>
        <c:axId val="779047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Node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5984"/>
        <c:crosses val="autoZero"/>
        <c:auto val="1"/>
        <c:lblAlgn val="ctr"/>
        <c:lblOffset val="100"/>
        <c:tickMarkSkip val="1"/>
        <c:noMultiLvlLbl val="1"/>
      </c:catAx>
      <c:valAx>
        <c:axId val="779045984"/>
        <c:scaling>
          <c:orientation val="minMax"/>
          <c:min val="69000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Pressure (Pa)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7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4.xml"/><Relationship Id="rId5" Type="http://schemas.openxmlformats.org/officeDocument/2006/relationships/chart" Target="../charts/chart3.xml"/><Relationship Id="rId4" Type="http://schemas.openxmlformats.org/officeDocument/2006/relationships/image" Target="../media/image2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31217</xdr:colOff>
      <xdr:row>14</xdr:row>
      <xdr:rowOff>68836</xdr:rowOff>
    </xdr:from>
    <xdr:to>
      <xdr:col>12</xdr:col>
      <xdr:colOff>106550</xdr:colOff>
      <xdr:row>34</xdr:row>
      <xdr:rowOff>10335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217" y="2069086"/>
          <a:ext cx="6933333" cy="3751499"/>
        </a:xfrm>
        <a:prstGeom prst="rect">
          <a:avLst/>
        </a:prstGeom>
        <a:effectLst>
          <a:glow rad="127000">
            <a:schemeClr val="accent5">
              <a:alpha val="40000"/>
            </a:schemeClr>
          </a:glow>
        </a:effec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4</xdr:col>
      <xdr:colOff>298779</xdr:colOff>
      <xdr:row>3</xdr:row>
      <xdr:rowOff>94739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2FD89EB8-B49D-423E-A12A-236EE06AB8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1441779" cy="632621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24</xdr:col>
      <xdr:colOff>9048</xdr:colOff>
      <xdr:row>15</xdr:row>
      <xdr:rowOff>185997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2AE59D8-FA01-4939-9593-675E61F359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811000" y="2566147"/>
          <a:ext cx="3819048" cy="8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23</xdr:col>
      <xdr:colOff>9143</xdr:colOff>
      <xdr:row>23</xdr:row>
      <xdr:rowOff>38024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14CAF543-03AE-45AE-A89E-8E1149318F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811000" y="4179794"/>
          <a:ext cx="3057143" cy="6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26</xdr:col>
      <xdr:colOff>8857</xdr:colOff>
      <xdr:row>35</xdr:row>
      <xdr:rowOff>95024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D592F41D-F1EB-4379-B758-6F51FA6FFF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811000" y="5322794"/>
          <a:ext cx="5342857" cy="18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28</xdr:col>
      <xdr:colOff>8667</xdr:colOff>
      <xdr:row>45</xdr:row>
      <xdr:rowOff>66524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C95A194B-E760-4FF0-9B5D-AF8C69882D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811000" y="7799294"/>
          <a:ext cx="6866667" cy="12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28</xdr:col>
      <xdr:colOff>8667</xdr:colOff>
      <xdr:row>58</xdr:row>
      <xdr:rowOff>95024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5A6B3E48-721E-4A22-9EDF-F6D0D02201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811000" y="9704294"/>
          <a:ext cx="6866667" cy="18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28</xdr:col>
      <xdr:colOff>8667</xdr:colOff>
      <xdr:row>70</xdr:row>
      <xdr:rowOff>76081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20B51A46-F82F-4AAA-930A-256B734C0A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811000" y="12180794"/>
          <a:ext cx="6866667" cy="1590476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79</xdr:row>
      <xdr:rowOff>104762</xdr:rowOff>
    </xdr:from>
    <xdr:to>
      <xdr:col>30</xdr:col>
      <xdr:colOff>8476</xdr:colOff>
      <xdr:row>97</xdr:row>
      <xdr:rowOff>26217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BAF26019-B86B-4CF3-80A3-6978C9D3E7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811000" y="15557674"/>
          <a:ext cx="8390476" cy="3390476"/>
        </a:xfrm>
        <a:prstGeom prst="rect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28</xdr:col>
      <xdr:colOff>8667</xdr:colOff>
      <xdr:row>104</xdr:row>
      <xdr:rowOff>38024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B9890466-B90A-411D-AE77-09D5CFAF9A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811000" y="19666324"/>
          <a:ext cx="6866667" cy="609524"/>
        </a:xfrm>
        <a:prstGeom prst="rect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25</xdr:col>
      <xdr:colOff>8952</xdr:colOff>
      <xdr:row>127</xdr:row>
      <xdr:rowOff>63071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id="{6104F0DD-7C8E-427A-A438-D74DD20676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811000" y="21604941"/>
          <a:ext cx="4580952" cy="3209524"/>
        </a:xfrm>
        <a:prstGeom prst="rect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</a:ln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25</xdr:col>
      <xdr:colOff>8952</xdr:colOff>
      <xdr:row>155</xdr:row>
      <xdr:rowOff>8976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452B6E30-CA2B-4F4B-9820-28972FC3B6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1811000" y="25581429"/>
          <a:ext cx="4580952" cy="4390476"/>
        </a:xfrm>
        <a:prstGeom prst="rect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</a:ln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25</xdr:col>
      <xdr:colOff>18476</xdr:colOff>
      <xdr:row>172</xdr:row>
      <xdr:rowOff>9190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5CD8D2C5-C11C-4FE6-AE82-AC8907A5FB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1811000" y="30534429"/>
          <a:ext cx="4590476" cy="2676190"/>
        </a:xfrm>
        <a:prstGeom prst="rect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</a:ln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24</xdr:col>
      <xdr:colOff>389952</xdr:colOff>
      <xdr:row>184</xdr:row>
      <xdr:rowOff>37976</xdr:rowOff>
    </xdr:to>
    <xdr:pic>
      <xdr:nvPicPr>
        <xdr:cNvPr id="24" name="Image 23">
          <a:extLst>
            <a:ext uri="{FF2B5EF4-FFF2-40B4-BE49-F238E27FC236}">
              <a16:creationId xmlns:a16="http://schemas.microsoft.com/office/drawing/2014/main" id="{805CB427-4620-4ADD-9769-04BCD93E0A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1430000" y="34929536"/>
          <a:ext cx="4580952" cy="990476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25</xdr:col>
      <xdr:colOff>475571</xdr:colOff>
      <xdr:row>222</xdr:row>
      <xdr:rowOff>180262</xdr:rowOff>
    </xdr:to>
    <xdr:pic>
      <xdr:nvPicPr>
        <xdr:cNvPr id="25" name="Image 24">
          <a:extLst>
            <a:ext uri="{FF2B5EF4-FFF2-40B4-BE49-F238E27FC236}">
              <a16:creationId xmlns:a16="http://schemas.microsoft.com/office/drawing/2014/main" id="{452B4858-7C01-4A4F-9A2A-FFCECA20A6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430000" y="37610143"/>
          <a:ext cx="5428571" cy="5704762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18</xdr:col>
      <xdr:colOff>0</xdr:colOff>
      <xdr:row>226</xdr:row>
      <xdr:rowOff>0</xdr:rowOff>
    </xdr:from>
    <xdr:to>
      <xdr:col>25</xdr:col>
      <xdr:colOff>561286</xdr:colOff>
      <xdr:row>245</xdr:row>
      <xdr:rowOff>47167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B520AE5-8752-4ABF-8F94-22EB78CB3E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430000" y="43896643"/>
          <a:ext cx="5514286" cy="3666667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18</xdr:col>
      <xdr:colOff>0</xdr:colOff>
      <xdr:row>248</xdr:row>
      <xdr:rowOff>0</xdr:rowOff>
    </xdr:from>
    <xdr:to>
      <xdr:col>24</xdr:col>
      <xdr:colOff>389952</xdr:colOff>
      <xdr:row>253</xdr:row>
      <xdr:rowOff>37976</xdr:rowOff>
    </xdr:to>
    <xdr:pic>
      <xdr:nvPicPr>
        <xdr:cNvPr id="27" name="Image 26">
          <a:extLst>
            <a:ext uri="{FF2B5EF4-FFF2-40B4-BE49-F238E27FC236}">
              <a16:creationId xmlns:a16="http://schemas.microsoft.com/office/drawing/2014/main" id="{5654871B-7725-4A9F-A3CD-D631CDEF3A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430000" y="48074036"/>
          <a:ext cx="4580952" cy="990476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oneCellAnchor>
    <xdr:from>
      <xdr:col>4</xdr:col>
      <xdr:colOff>113619</xdr:colOff>
      <xdr:row>93</xdr:row>
      <xdr:rowOff>66675</xdr:rowOff>
    </xdr:from>
    <xdr:ext cx="3190476" cy="1000000"/>
    <xdr:pic>
      <xdr:nvPicPr>
        <xdr:cNvPr id="28" name="Image 27">
          <a:extLst>
            <a:ext uri="{FF2B5EF4-FFF2-40B4-BE49-F238E27FC236}">
              <a16:creationId xmlns:a16="http://schemas.microsoft.com/office/drawing/2014/main" id="{648C77C6-E8D7-4B3C-9DDF-D150DDE1ED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018619" y="17278910"/>
          <a:ext cx="3190476" cy="10000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oneCellAnchor>
  <xdr:oneCellAnchor>
    <xdr:from>
      <xdr:col>4</xdr:col>
      <xdr:colOff>0</xdr:colOff>
      <xdr:row>104</xdr:row>
      <xdr:rowOff>57150</xdr:rowOff>
    </xdr:from>
    <xdr:ext cx="3057143" cy="409524"/>
    <xdr:pic>
      <xdr:nvPicPr>
        <xdr:cNvPr id="29" name="Image 28">
          <a:extLst>
            <a:ext uri="{FF2B5EF4-FFF2-40B4-BE49-F238E27FC236}">
              <a16:creationId xmlns:a16="http://schemas.microsoft.com/office/drawing/2014/main" id="{05343FA0-E519-4F8B-8610-68D59CAD50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1905000" y="24698325"/>
          <a:ext cx="3057143" cy="4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761999</xdr:colOff>
      <xdr:row>43</xdr:row>
      <xdr:rowOff>0</xdr:rowOff>
    </xdr:from>
    <xdr:to>
      <xdr:col>9</xdr:col>
      <xdr:colOff>750794</xdr:colOff>
      <xdr:row>52</xdr:row>
      <xdr:rowOff>0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53</xdr:row>
      <xdr:rowOff>0</xdr:rowOff>
    </xdr:from>
    <xdr:to>
      <xdr:col>9</xdr:col>
      <xdr:colOff>728382</xdr:colOff>
      <xdr:row>61</xdr:row>
      <xdr:rowOff>0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1</xdr:row>
      <xdr:rowOff>0</xdr:rowOff>
    </xdr:from>
    <xdr:to>
      <xdr:col>2</xdr:col>
      <xdr:colOff>679779</xdr:colOff>
      <xdr:row>3</xdr:row>
      <xdr:rowOff>94739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1727" y="190500"/>
          <a:ext cx="1441779" cy="614284"/>
        </a:xfrm>
        <a:prstGeom prst="rect">
          <a:avLst/>
        </a:prstGeom>
      </xdr:spPr>
    </xdr:pic>
    <xdr:clientData/>
  </xdr:twoCellAnchor>
  <xdr:twoCellAnchor editAs="oneCell">
    <xdr:from>
      <xdr:col>5</xdr:col>
      <xdr:colOff>745987</xdr:colOff>
      <xdr:row>5</xdr:row>
      <xdr:rowOff>92848</xdr:rowOff>
    </xdr:from>
    <xdr:to>
      <xdr:col>14</xdr:col>
      <xdr:colOff>504304</xdr:colOff>
      <xdr:row>23</xdr:row>
      <xdr:rowOff>193702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106951" y="1208634"/>
          <a:ext cx="6616317" cy="3747568"/>
        </a:xfrm>
        <a:prstGeom prst="rect">
          <a:avLst/>
        </a:prstGeom>
        <a:ln>
          <a:solidFill>
            <a:schemeClr val="accent1"/>
          </a:solidFill>
        </a:ln>
        <a:effectLst>
          <a:glow rad="139700">
            <a:srgbClr val="1464F4">
              <a:alpha val="40000"/>
            </a:srgbClr>
          </a:glow>
        </a:effectLst>
      </xdr:spPr>
    </xdr:pic>
    <xdr:clientData/>
  </xdr:twoCellAnchor>
  <xdr:twoCellAnchor>
    <xdr:from>
      <xdr:col>21</xdr:col>
      <xdr:colOff>761478</xdr:colOff>
      <xdr:row>13</xdr:row>
      <xdr:rowOff>176896</xdr:rowOff>
    </xdr:from>
    <xdr:to>
      <xdr:col>28</xdr:col>
      <xdr:colOff>13608</xdr:colOff>
      <xdr:row>26</xdr:row>
      <xdr:rowOff>201708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747871</xdr:colOff>
      <xdr:row>28</xdr:row>
      <xdr:rowOff>123268</xdr:rowOff>
    </xdr:from>
    <xdr:to>
      <xdr:col>28</xdr:col>
      <xdr:colOff>1</xdr:colOff>
      <xdr:row>41</xdr:row>
      <xdr:rowOff>156884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C0C625AE-A1F1-4779-8861-A3BE181F12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>
        <a:ln w="63500"/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hydraucalc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hydraucalc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DC13A-3BF4-4F04-9A98-FED67E963E05}">
  <sheetPr codeName="Feuil1"/>
  <dimension ref="B2:AD247"/>
  <sheetViews>
    <sheetView zoomScale="70" zoomScaleNormal="70" workbookViewId="0"/>
  </sheetViews>
  <sheetFormatPr baseColWidth="10" defaultColWidth="11.42578125" defaultRowHeight="15" x14ac:dyDescent="0.25"/>
  <cols>
    <col min="2" max="5" width="5.7109375" customWidth="1"/>
    <col min="17" max="19" width="5.7109375" customWidth="1"/>
  </cols>
  <sheetData>
    <row r="2" spans="2:25" s="2" customFormat="1" ht="21" x14ac:dyDescent="0.35">
      <c r="C2" s="3"/>
      <c r="G2" s="19" t="s">
        <v>46</v>
      </c>
    </row>
    <row r="3" spans="2:25" ht="21" x14ac:dyDescent="0.35">
      <c r="G3" s="19" t="s">
        <v>57</v>
      </c>
    </row>
    <row r="4" spans="2:25" x14ac:dyDescent="0.25">
      <c r="B4" s="58" t="s">
        <v>150</v>
      </c>
    </row>
    <row r="5" spans="2:25" x14ac:dyDescent="0.25">
      <c r="B5" s="20" t="s">
        <v>56</v>
      </c>
    </row>
    <row r="7" spans="2:25" ht="18.75" x14ac:dyDescent="0.3">
      <c r="B7" s="56" t="s">
        <v>240</v>
      </c>
      <c r="F7" s="57" t="s">
        <v>152</v>
      </c>
      <c r="Q7" s="59" t="s">
        <v>154</v>
      </c>
    </row>
    <row r="8" spans="2:25" ht="19.5" thickBot="1" x14ac:dyDescent="0.35">
      <c r="B8" s="20"/>
      <c r="G8" s="57" t="s">
        <v>153</v>
      </c>
    </row>
    <row r="9" spans="2:25" ht="15" customHeight="1" thickBot="1" x14ac:dyDescent="0.35">
      <c r="B9" s="20"/>
      <c r="F9" s="57"/>
      <c r="R9" s="60" t="s">
        <v>155</v>
      </c>
      <c r="Y9" s="22"/>
    </row>
    <row r="10" spans="2:25" ht="18.75" x14ac:dyDescent="0.3">
      <c r="B10" s="20"/>
      <c r="F10" s="65" t="s">
        <v>241</v>
      </c>
    </row>
    <row r="11" spans="2:25" ht="18.75" x14ac:dyDescent="0.3">
      <c r="B11" s="20"/>
      <c r="F11" s="65" t="s">
        <v>242</v>
      </c>
      <c r="S11" s="49" t="s">
        <v>156</v>
      </c>
    </row>
    <row r="12" spans="2:25" ht="18.75" x14ac:dyDescent="0.3">
      <c r="B12" s="20"/>
      <c r="F12" s="21"/>
      <c r="G12" s="57" t="s">
        <v>243</v>
      </c>
    </row>
    <row r="13" spans="2:25" ht="18.75" x14ac:dyDescent="0.3">
      <c r="B13" s="20"/>
      <c r="F13" s="57"/>
    </row>
    <row r="19" spans="19:19" x14ac:dyDescent="0.25">
      <c r="S19" s="49" t="s">
        <v>158</v>
      </c>
    </row>
    <row r="25" spans="19:19" x14ac:dyDescent="0.25">
      <c r="S25" s="49" t="s">
        <v>159</v>
      </c>
    </row>
    <row r="37" spans="2:19" ht="18.75" x14ac:dyDescent="0.3">
      <c r="B37" s="59" t="s">
        <v>183</v>
      </c>
    </row>
    <row r="38" spans="2:19" x14ac:dyDescent="0.25">
      <c r="S38" s="49" t="s">
        <v>160</v>
      </c>
    </row>
    <row r="39" spans="2:19" x14ac:dyDescent="0.25">
      <c r="C39" t="s">
        <v>184</v>
      </c>
    </row>
    <row r="41" spans="2:19" x14ac:dyDescent="0.25">
      <c r="D41" t="s">
        <v>55</v>
      </c>
    </row>
    <row r="42" spans="2:19" x14ac:dyDescent="0.25">
      <c r="E42" t="s">
        <v>185</v>
      </c>
    </row>
    <row r="43" spans="2:19" x14ac:dyDescent="0.25">
      <c r="E43" t="s">
        <v>186</v>
      </c>
    </row>
    <row r="44" spans="2:19" x14ac:dyDescent="0.25">
      <c r="F44" t="s">
        <v>187</v>
      </c>
    </row>
    <row r="45" spans="2:19" x14ac:dyDescent="0.25">
      <c r="F45" t="s">
        <v>188</v>
      </c>
    </row>
    <row r="46" spans="2:19" x14ac:dyDescent="0.25">
      <c r="F46" t="s">
        <v>189</v>
      </c>
    </row>
    <row r="48" spans="2:19" x14ac:dyDescent="0.25">
      <c r="D48" t="s">
        <v>190</v>
      </c>
      <c r="S48" s="49" t="s">
        <v>161</v>
      </c>
    </row>
    <row r="49" spans="4:19" x14ac:dyDescent="0.25">
      <c r="E49" t="s">
        <v>191</v>
      </c>
    </row>
    <row r="51" spans="4:19" x14ac:dyDescent="0.25">
      <c r="D51" t="s">
        <v>192</v>
      </c>
    </row>
    <row r="52" spans="4:19" x14ac:dyDescent="0.25">
      <c r="E52" t="s">
        <v>193</v>
      </c>
    </row>
    <row r="54" spans="4:19" x14ac:dyDescent="0.25">
      <c r="D54" t="s">
        <v>194</v>
      </c>
    </row>
    <row r="55" spans="4:19" x14ac:dyDescent="0.25">
      <c r="E55" t="s">
        <v>195</v>
      </c>
    </row>
    <row r="56" spans="4:19" x14ac:dyDescent="0.25">
      <c r="D56" t="s">
        <v>196</v>
      </c>
    </row>
    <row r="57" spans="4:19" x14ac:dyDescent="0.25">
      <c r="E57" t="s">
        <v>197</v>
      </c>
    </row>
    <row r="58" spans="4:19" x14ac:dyDescent="0.25">
      <c r="D58" t="s">
        <v>198</v>
      </c>
    </row>
    <row r="59" spans="4:19" x14ac:dyDescent="0.25">
      <c r="E59" t="s">
        <v>199</v>
      </c>
    </row>
    <row r="60" spans="4:19" x14ac:dyDescent="0.25">
      <c r="D60" t="s">
        <v>200</v>
      </c>
    </row>
    <row r="61" spans="4:19" x14ac:dyDescent="0.25">
      <c r="E61" t="s">
        <v>201</v>
      </c>
      <c r="S61" s="49" t="s">
        <v>162</v>
      </c>
    </row>
    <row r="63" spans="4:19" x14ac:dyDescent="0.25">
      <c r="D63" t="s">
        <v>147</v>
      </c>
    </row>
    <row r="64" spans="4:19" x14ac:dyDescent="0.25">
      <c r="E64" t="s">
        <v>202</v>
      </c>
    </row>
    <row r="66" spans="2:30" x14ac:dyDescent="0.25">
      <c r="C66" t="s">
        <v>203</v>
      </c>
    </row>
    <row r="68" spans="2:30" x14ac:dyDescent="0.25">
      <c r="D68" t="s">
        <v>204</v>
      </c>
    </row>
    <row r="69" spans="2:30" x14ac:dyDescent="0.25">
      <c r="D69" t="s">
        <v>157</v>
      </c>
    </row>
    <row r="70" spans="2:30" x14ac:dyDescent="0.25">
      <c r="D70" t="s">
        <v>205</v>
      </c>
    </row>
    <row r="71" spans="2:30" x14ac:dyDescent="0.25">
      <c r="D71" t="s">
        <v>206</v>
      </c>
    </row>
    <row r="72" spans="2:30" x14ac:dyDescent="0.25">
      <c r="T72" t="s">
        <v>163</v>
      </c>
    </row>
    <row r="74" spans="2:30" ht="19.5" thickBot="1" x14ac:dyDescent="0.35">
      <c r="B74" s="59" t="s">
        <v>207</v>
      </c>
    </row>
    <row r="75" spans="2:30" ht="16.5" thickBot="1" x14ac:dyDescent="0.3">
      <c r="R75" s="60" t="s">
        <v>164</v>
      </c>
      <c r="AD75" s="25"/>
    </row>
    <row r="76" spans="2:30" x14ac:dyDescent="0.25">
      <c r="C76" t="s">
        <v>212</v>
      </c>
      <c r="S76" t="s">
        <v>165</v>
      </c>
    </row>
    <row r="77" spans="2:30" x14ac:dyDescent="0.25">
      <c r="D77" t="s">
        <v>208</v>
      </c>
    </row>
    <row r="78" spans="2:30" x14ac:dyDescent="0.25">
      <c r="S78" s="49" t="s">
        <v>166</v>
      </c>
    </row>
    <row r="79" spans="2:30" x14ac:dyDescent="0.25">
      <c r="C79" t="s">
        <v>209</v>
      </c>
    </row>
    <row r="80" spans="2:30" x14ac:dyDescent="0.25">
      <c r="D80" t="s">
        <v>213</v>
      </c>
    </row>
    <row r="82" spans="2:4" x14ac:dyDescent="0.25">
      <c r="C82" t="s">
        <v>214</v>
      </c>
    </row>
    <row r="84" spans="2:4" x14ac:dyDescent="0.25">
      <c r="C84" t="s">
        <v>210</v>
      </c>
    </row>
    <row r="87" spans="2:4" ht="18.75" x14ac:dyDescent="0.3">
      <c r="B87" s="59" t="s">
        <v>211</v>
      </c>
    </row>
    <row r="89" spans="2:4" x14ac:dyDescent="0.25">
      <c r="C89" t="s">
        <v>215</v>
      </c>
    </row>
    <row r="90" spans="2:4" x14ac:dyDescent="0.25">
      <c r="D90" t="s">
        <v>216</v>
      </c>
    </row>
    <row r="91" spans="2:4" x14ac:dyDescent="0.25">
      <c r="D91" t="s">
        <v>217</v>
      </c>
    </row>
    <row r="92" spans="2:4" x14ac:dyDescent="0.25">
      <c r="D92" t="s">
        <v>218</v>
      </c>
    </row>
    <row r="93" spans="2:4" x14ac:dyDescent="0.25">
      <c r="D93" t="s">
        <v>227</v>
      </c>
    </row>
    <row r="100" spans="2:28" x14ac:dyDescent="0.25">
      <c r="C100" t="s">
        <v>219</v>
      </c>
      <c r="S100" s="49" t="s">
        <v>167</v>
      </c>
    </row>
    <row r="101" spans="2:28" x14ac:dyDescent="0.25">
      <c r="D101" t="s">
        <v>220</v>
      </c>
    </row>
    <row r="102" spans="2:28" x14ac:dyDescent="0.25">
      <c r="E102" t="s">
        <v>221</v>
      </c>
    </row>
    <row r="103" spans="2:28" x14ac:dyDescent="0.25">
      <c r="F103" t="s">
        <v>222</v>
      </c>
    </row>
    <row r="104" spans="2:28" x14ac:dyDescent="0.25">
      <c r="F104" t="s">
        <v>223</v>
      </c>
    </row>
    <row r="106" spans="2:28" ht="15.75" thickBot="1" x14ac:dyDescent="0.3"/>
    <row r="107" spans="2:28" ht="16.5" thickBot="1" x14ac:dyDescent="0.3">
      <c r="R107" s="60" t="s">
        <v>169</v>
      </c>
      <c r="AB107" s="24"/>
    </row>
    <row r="108" spans="2:28" x14ac:dyDescent="0.25">
      <c r="E108" t="s">
        <v>224</v>
      </c>
      <c r="S108" t="s">
        <v>165</v>
      </c>
    </row>
    <row r="109" spans="2:28" x14ac:dyDescent="0.25">
      <c r="F109" t="s">
        <v>225</v>
      </c>
    </row>
    <row r="110" spans="2:28" x14ac:dyDescent="0.25">
      <c r="S110" s="49" t="s">
        <v>170</v>
      </c>
    </row>
    <row r="112" spans="2:28" ht="18.75" x14ac:dyDescent="0.3">
      <c r="B112" s="59" t="s">
        <v>226</v>
      </c>
    </row>
    <row r="113" spans="6:9" ht="15.75" thickBot="1" x14ac:dyDescent="0.3"/>
    <row r="114" spans="6:9" ht="16.5" thickTop="1" thickBot="1" x14ac:dyDescent="0.3">
      <c r="F114" s="66" t="s">
        <v>54</v>
      </c>
      <c r="G114" s="67"/>
      <c r="H114" s="67"/>
      <c r="I114" s="68"/>
    </row>
    <row r="115" spans="6:9" ht="16.5" thickTop="1" thickBot="1" x14ac:dyDescent="0.3">
      <c r="F115" s="62" t="s">
        <v>16</v>
      </c>
      <c r="G115" s="63" t="s">
        <v>21</v>
      </c>
      <c r="H115" s="63" t="s">
        <v>239</v>
      </c>
      <c r="I115" s="64" t="s">
        <v>20</v>
      </c>
    </row>
    <row r="116" spans="6:9" ht="16.5" thickTop="1" thickBot="1" x14ac:dyDescent="0.3">
      <c r="F116" s="13" t="s">
        <v>27</v>
      </c>
      <c r="G116" s="14">
        <f>25.06/3600</f>
        <v>6.9611111111111106E-3</v>
      </c>
      <c r="H116" s="16">
        <f>Q_J5</f>
        <v>6.9648772319628348E-3</v>
      </c>
      <c r="I116" s="15">
        <f>(G116-H116)/G116</f>
        <v>-5.4102294757409639E-4</v>
      </c>
    </row>
    <row r="117" spans="6:9" ht="15.75" thickTop="1" x14ac:dyDescent="0.25"/>
    <row r="130" spans="19:20" x14ac:dyDescent="0.25">
      <c r="S130" s="21" t="s">
        <v>171</v>
      </c>
    </row>
    <row r="131" spans="19:20" x14ac:dyDescent="0.25">
      <c r="T131" t="s">
        <v>172</v>
      </c>
    </row>
    <row r="157" spans="19:19" x14ac:dyDescent="0.25">
      <c r="S157" t="s">
        <v>173</v>
      </c>
    </row>
    <row r="175" spans="17:17" ht="15.75" x14ac:dyDescent="0.25">
      <c r="Q175" s="60" t="s">
        <v>174</v>
      </c>
    </row>
    <row r="177" spans="18:24" x14ac:dyDescent="0.25">
      <c r="R177" t="s">
        <v>177</v>
      </c>
    </row>
    <row r="178" spans="18:24" x14ac:dyDescent="0.25">
      <c r="S178" t="s">
        <v>178</v>
      </c>
    </row>
    <row r="186" spans="18:24" x14ac:dyDescent="0.25">
      <c r="S186" t="s">
        <v>175</v>
      </c>
    </row>
    <row r="187" spans="18:24" ht="15.75" thickBot="1" x14ac:dyDescent="0.3"/>
    <row r="188" spans="18:24" ht="15.75" thickBot="1" x14ac:dyDescent="0.3">
      <c r="T188" s="41" t="s">
        <v>52</v>
      </c>
      <c r="U188" s="61">
        <v>1.0000000000000001E-5</v>
      </c>
      <c r="V188" s="61">
        <v>1E-4</v>
      </c>
      <c r="W188" s="61">
        <v>1E-3</v>
      </c>
      <c r="X188" s="61">
        <v>0.01</v>
      </c>
    </row>
    <row r="190" spans="18:24" x14ac:dyDescent="0.25">
      <c r="R190" t="s">
        <v>176</v>
      </c>
    </row>
    <row r="191" spans="18:24" x14ac:dyDescent="0.25">
      <c r="S191" t="s">
        <v>179</v>
      </c>
    </row>
    <row r="192" spans="18:24" x14ac:dyDescent="0.25">
      <c r="S192" t="s">
        <v>180</v>
      </c>
    </row>
    <row r="194" spans="27:27" x14ac:dyDescent="0.25">
      <c r="AA194" s="28"/>
    </row>
    <row r="225" spans="18:27" x14ac:dyDescent="0.25">
      <c r="R225" t="s">
        <v>181</v>
      </c>
    </row>
    <row r="227" spans="18:27" x14ac:dyDescent="0.25">
      <c r="AA227" s="28"/>
    </row>
    <row r="247" spans="18:18" x14ac:dyDescent="0.25">
      <c r="R247" t="s">
        <v>182</v>
      </c>
    </row>
  </sheetData>
  <mergeCells count="1">
    <mergeCell ref="F114:I114"/>
  </mergeCells>
  <hyperlinks>
    <hyperlink ref="B5" r:id="rId1" xr:uid="{4168C774-163D-4117-92E0-730FD224D626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7600D-0081-41CE-9DEA-AD37A3E0C448}">
  <sheetPr codeName="Feuil2">
    <pageSetUpPr fitToPage="1"/>
  </sheetPr>
  <dimension ref="A2:Y69"/>
  <sheetViews>
    <sheetView showGridLines="0" tabSelected="1" zoomScale="70" zoomScaleNormal="70" workbookViewId="0"/>
  </sheetViews>
  <sheetFormatPr baseColWidth="10" defaultColWidth="11.42578125" defaultRowHeight="15" x14ac:dyDescent="0.25"/>
  <cols>
    <col min="1" max="1" width="4.7109375" customWidth="1"/>
    <col min="5" max="5" width="11.42578125" customWidth="1"/>
    <col min="12" max="12" width="11.42578125" customWidth="1"/>
    <col min="21" max="21" width="11.42578125" customWidth="1"/>
    <col min="23" max="24" width="11.42578125" style="43"/>
    <col min="29" max="29" width="4.7109375" customWidth="1"/>
  </cols>
  <sheetData>
    <row r="2" spans="1:25" s="2" customFormat="1" ht="21" x14ac:dyDescent="0.35">
      <c r="C2" s="3"/>
      <c r="E2" s="19" t="s">
        <v>46</v>
      </c>
      <c r="W2" s="43"/>
      <c r="X2" s="43"/>
    </row>
    <row r="3" spans="1:25" ht="21" x14ac:dyDescent="0.35">
      <c r="E3" s="19" t="s">
        <v>57</v>
      </c>
    </row>
    <row r="4" spans="1:25" x14ac:dyDescent="0.25">
      <c r="B4" s="58" t="s">
        <v>150</v>
      </c>
    </row>
    <row r="5" spans="1:25" x14ac:dyDescent="0.25">
      <c r="B5" s="20" t="s">
        <v>56</v>
      </c>
      <c r="U5" s="43"/>
      <c r="X5"/>
    </row>
    <row r="6" spans="1:25" ht="15" customHeight="1" x14ac:dyDescent="0.25">
      <c r="P6" s="37" t="s">
        <v>18</v>
      </c>
      <c r="Q6" s="38"/>
      <c r="R6" s="38"/>
      <c r="S6" s="38"/>
      <c r="T6" s="43"/>
      <c r="U6" s="43"/>
      <c r="W6" s="21" t="s">
        <v>141</v>
      </c>
      <c r="X6"/>
    </row>
    <row r="7" spans="1:25" ht="15.75" thickBot="1" x14ac:dyDescent="0.3">
      <c r="B7" s="21" t="s">
        <v>58</v>
      </c>
      <c r="P7" s="39" t="s">
        <v>19</v>
      </c>
      <c r="Q7" s="38"/>
      <c r="R7" s="38"/>
      <c r="S7" s="38"/>
      <c r="T7" s="43"/>
      <c r="U7" s="43"/>
      <c r="W7" s="31" t="s">
        <v>22</v>
      </c>
      <c r="X7" s="31" t="s">
        <v>24</v>
      </c>
    </row>
    <row r="8" spans="1:25" ht="15" customHeight="1" thickBot="1" x14ac:dyDescent="0.3">
      <c r="A8" s="1"/>
      <c r="B8" s="17" t="s">
        <v>7</v>
      </c>
      <c r="D8" s="22"/>
      <c r="P8" s="40" t="s">
        <v>27</v>
      </c>
      <c r="Q8" s="41" t="s">
        <v>52</v>
      </c>
      <c r="R8" s="54">
        <v>6.9648772319628348E-3</v>
      </c>
      <c r="S8" s="42" t="s">
        <v>4</v>
      </c>
      <c r="T8" s="43"/>
      <c r="U8" s="43"/>
      <c r="W8" s="34" t="s">
        <v>0</v>
      </c>
      <c r="X8" s="34" t="s">
        <v>107</v>
      </c>
    </row>
    <row r="9" spans="1:25" ht="15.75" thickBot="1" x14ac:dyDescent="0.3">
      <c r="A9" s="1"/>
      <c r="B9" s="23" t="s">
        <v>9</v>
      </c>
      <c r="D9" s="24"/>
      <c r="P9" s="39" t="s">
        <v>151</v>
      </c>
      <c r="Q9" s="38"/>
      <c r="R9" s="38"/>
      <c r="S9" s="38"/>
      <c r="T9" s="43"/>
      <c r="U9" s="43"/>
      <c r="W9" s="52">
        <v>0</v>
      </c>
      <c r="X9" s="24">
        <f xml:space="preserve"> ( H_J5 / Q_J5^2 ) * W9^2</f>
        <v>0</v>
      </c>
      <c r="Y9" s="43" t="s">
        <v>142</v>
      </c>
    </row>
    <row r="10" spans="1:25" ht="15.75" thickBot="1" x14ac:dyDescent="0.3">
      <c r="A10" s="1"/>
      <c r="B10" s="23" t="s">
        <v>8</v>
      </c>
      <c r="D10" s="25"/>
      <c r="P10" s="55" t="s">
        <v>149</v>
      </c>
      <c r="Q10" s="38"/>
      <c r="R10" s="44">
        <f xml:space="preserve"> P_n14 - P_n1</f>
        <v>1.568603515625E-2</v>
      </c>
      <c r="S10" s="42" t="s">
        <v>5</v>
      </c>
      <c r="T10" s="43" t="s">
        <v>140</v>
      </c>
      <c r="U10" s="43"/>
      <c r="W10" s="52">
        <v>2.5000000000000001E-3</v>
      </c>
      <c r="X10" s="24">
        <f xml:space="preserve"> ( H_J5 / Q_J5^2 ) * W10^2</f>
        <v>0.70838567941557851</v>
      </c>
      <c r="Y10" s="43" t="s">
        <v>143</v>
      </c>
    </row>
    <row r="11" spans="1:25" ht="15.75" thickBot="1" x14ac:dyDescent="0.3">
      <c r="B11" s="4" t="s">
        <v>12</v>
      </c>
      <c r="T11" s="43"/>
      <c r="U11" s="43"/>
      <c r="W11" s="52">
        <v>5.0000000000000001E-3</v>
      </c>
      <c r="X11" s="24">
        <f xml:space="preserve"> ( H_J5 / Q_J5^2 ) * W11^2</f>
        <v>2.833542717662314</v>
      </c>
      <c r="Y11" s="43" t="s">
        <v>144</v>
      </c>
    </row>
    <row r="12" spans="1:25" ht="15.75" thickBot="1" x14ac:dyDescent="0.3">
      <c r="B12" s="26" t="s">
        <v>59</v>
      </c>
      <c r="P12" s="49" t="s">
        <v>112</v>
      </c>
      <c r="Q12" s="49"/>
      <c r="R12" s="49"/>
      <c r="S12" s="43"/>
      <c r="T12" s="43"/>
      <c r="U12" s="43"/>
      <c r="W12" s="52">
        <v>7.4999999999999997E-3</v>
      </c>
      <c r="X12" s="24">
        <f xml:space="preserve"> ( H_J5 / Q_J5^2 ) * W12^2</f>
        <v>6.3754711147402059</v>
      </c>
      <c r="Y12" s="43" t="s">
        <v>145</v>
      </c>
    </row>
    <row r="13" spans="1:25" ht="15.75" thickBot="1" x14ac:dyDescent="0.3">
      <c r="B13" s="43" t="s">
        <v>148</v>
      </c>
      <c r="P13" s="31" t="s">
        <v>16</v>
      </c>
      <c r="Q13" s="31"/>
      <c r="R13" s="31"/>
      <c r="S13" s="43"/>
      <c r="T13" s="43"/>
      <c r="U13" s="43"/>
      <c r="W13" s="52">
        <v>8.0000000000000002E-3</v>
      </c>
      <c r="X13" s="24">
        <f xml:space="preserve"> ( H_J5 / Q_J5^2 ) * W13^2</f>
        <v>7.2538693572155237</v>
      </c>
      <c r="Y13" s="43" t="s">
        <v>146</v>
      </c>
    </row>
    <row r="14" spans="1:25" ht="15.75" thickBot="1" x14ac:dyDescent="0.3">
      <c r="B14" s="26"/>
      <c r="P14" s="31" t="s">
        <v>113</v>
      </c>
      <c r="Q14" s="27" t="str">
        <f>"P_"&amp;P14</f>
        <v>P_n1</v>
      </c>
      <c r="R14" s="50">
        <f xml:space="preserve"> P_J4</f>
        <v>700000</v>
      </c>
      <c r="S14" s="26" t="s">
        <v>5</v>
      </c>
      <c r="T14" s="43" t="s">
        <v>53</v>
      </c>
      <c r="U14" s="43"/>
      <c r="W14" s="11"/>
      <c r="X14"/>
    </row>
    <row r="15" spans="1:25" ht="15.75" thickBot="1" x14ac:dyDescent="0.3">
      <c r="B15" s="21" t="s">
        <v>13</v>
      </c>
      <c r="P15" s="31" t="s">
        <v>114</v>
      </c>
      <c r="Q15" s="27" t="str">
        <f t="shared" ref="Q15:Q27" si="0">"P_"&amp;P15</f>
        <v>P_n2</v>
      </c>
      <c r="R15" s="50">
        <f xml:space="preserve"> P_n1 - dP_P4</f>
        <v>697850.384765625</v>
      </c>
      <c r="S15" s="26" t="s">
        <v>5</v>
      </c>
      <c r="T15" s="43" t="s">
        <v>127</v>
      </c>
      <c r="U15" s="43"/>
      <c r="W15" s="12"/>
      <c r="X15"/>
    </row>
    <row r="16" spans="1:25" ht="15.75" thickBot="1" x14ac:dyDescent="0.3">
      <c r="B16" s="17" t="s">
        <v>6</v>
      </c>
      <c r="D16" s="27" t="s">
        <v>14</v>
      </c>
      <c r="E16" s="22">
        <v>1</v>
      </c>
      <c r="P16" s="31" t="s">
        <v>115</v>
      </c>
      <c r="Q16" s="27" t="str">
        <f t="shared" si="0"/>
        <v>P_n3</v>
      </c>
      <c r="R16" s="50">
        <f xml:space="preserve"> P_n2 + P_J5</f>
        <v>751666.849609375</v>
      </c>
      <c r="S16" s="26" t="s">
        <v>5</v>
      </c>
      <c r="T16" s="43" t="s">
        <v>128</v>
      </c>
      <c r="U16" s="43"/>
      <c r="W16"/>
      <c r="X16"/>
    </row>
    <row r="17" spans="2:24" ht="15.75" thickBot="1" x14ac:dyDescent="0.3">
      <c r="P17" s="31" t="s">
        <v>116</v>
      </c>
      <c r="Q17" s="27" t="str">
        <f t="shared" si="0"/>
        <v>P_n4</v>
      </c>
      <c r="R17" s="50">
        <f xml:space="preserve"> P_n3 - dP_P5</f>
        <v>747367.619140625</v>
      </c>
      <c r="S17" s="26" t="s">
        <v>5</v>
      </c>
      <c r="T17" s="43" t="s">
        <v>129</v>
      </c>
      <c r="U17" s="43"/>
      <c r="W17"/>
      <c r="X17"/>
    </row>
    <row r="18" spans="2:24" ht="15.75" customHeight="1" thickBot="1" x14ac:dyDescent="0.3">
      <c r="B18" s="21" t="s">
        <v>62</v>
      </c>
      <c r="P18" s="31" t="s">
        <v>117</v>
      </c>
      <c r="Q18" s="27" t="str">
        <f t="shared" si="0"/>
        <v>P_n5</v>
      </c>
      <c r="R18" s="50">
        <f xml:space="preserve"> P_n4 - dP_J6</f>
        <v>747174.55844116211</v>
      </c>
      <c r="S18" s="26" t="s">
        <v>5</v>
      </c>
      <c r="T18" s="43" t="s">
        <v>130</v>
      </c>
      <c r="U18" s="43"/>
      <c r="W18"/>
      <c r="X18"/>
    </row>
    <row r="19" spans="2:24" ht="15.75" thickBot="1" x14ac:dyDescent="0.3">
      <c r="B19" s="17" t="s">
        <v>60</v>
      </c>
      <c r="D19" t="s">
        <v>61</v>
      </c>
      <c r="P19" s="31" t="s">
        <v>118</v>
      </c>
      <c r="Q19" s="27" t="str">
        <f t="shared" si="0"/>
        <v>P_n6</v>
      </c>
      <c r="R19" s="50">
        <f xml:space="preserve"> P_n5 - dP_P6</f>
        <v>746816.28924560547</v>
      </c>
      <c r="S19" s="26" t="s">
        <v>5</v>
      </c>
      <c r="T19" s="43" t="s">
        <v>131</v>
      </c>
      <c r="U19" s="43"/>
      <c r="W19"/>
      <c r="X19"/>
    </row>
    <row r="20" spans="2:24" ht="15.75" customHeight="1" thickBot="1" x14ac:dyDescent="0.3">
      <c r="B20" s="17" t="s">
        <v>1</v>
      </c>
      <c r="C20" s="28"/>
      <c r="D20" s="27" t="s">
        <v>10</v>
      </c>
      <c r="E20" s="22">
        <v>998.10860000000002</v>
      </c>
      <c r="F20" s="26" t="s">
        <v>2</v>
      </c>
      <c r="P20" s="31" t="s">
        <v>119</v>
      </c>
      <c r="Q20" s="27" t="str">
        <f t="shared" si="0"/>
        <v>P_n7</v>
      </c>
      <c r="R20" s="50">
        <f xml:space="preserve"> P_n6 - dP_J7</f>
        <v>746623.22854614258</v>
      </c>
      <c r="S20" s="26" t="s">
        <v>5</v>
      </c>
      <c r="T20" s="43" t="s">
        <v>132</v>
      </c>
      <c r="U20" s="43"/>
      <c r="W20"/>
      <c r="X20"/>
    </row>
    <row r="21" spans="2:24" ht="15.75" customHeight="1" thickBot="1" x14ac:dyDescent="0.3">
      <c r="B21" s="17" t="s">
        <v>3</v>
      </c>
      <c r="C21" s="29"/>
      <c r="D21" s="30" t="s">
        <v>11</v>
      </c>
      <c r="E21" s="33">
        <v>9.8019999999999995E-7</v>
      </c>
      <c r="F21" s="26" t="s">
        <v>4</v>
      </c>
      <c r="P21" s="31" t="s">
        <v>120</v>
      </c>
      <c r="Q21" s="27" t="str">
        <f t="shared" si="0"/>
        <v>P_n8</v>
      </c>
      <c r="R21" s="50">
        <f xml:space="preserve"> P_n7 - dP_P7</f>
        <v>742323.99807739258</v>
      </c>
      <c r="S21" s="26" t="s">
        <v>5</v>
      </c>
      <c r="T21" s="43" t="s">
        <v>133</v>
      </c>
      <c r="U21" s="43"/>
      <c r="W21"/>
      <c r="X21"/>
    </row>
    <row r="22" spans="2:24" ht="15.75" thickBot="1" x14ac:dyDescent="0.3">
      <c r="P22" s="31" t="s">
        <v>121</v>
      </c>
      <c r="Q22" s="27" t="str">
        <f t="shared" si="0"/>
        <v>P_n9</v>
      </c>
      <c r="R22" s="50">
        <f xml:space="preserve"> P_n8 - dP_J1</f>
        <v>707193.25198364258</v>
      </c>
      <c r="S22" s="26" t="s">
        <v>5</v>
      </c>
      <c r="T22" s="43" t="s">
        <v>134</v>
      </c>
      <c r="U22" s="43"/>
      <c r="W22"/>
      <c r="X22"/>
    </row>
    <row r="23" spans="2:24" ht="15.75" thickBot="1" x14ac:dyDescent="0.3">
      <c r="B23" s="21" t="s">
        <v>47</v>
      </c>
      <c r="P23" s="31" t="s">
        <v>122</v>
      </c>
      <c r="Q23" s="27" t="str">
        <f t="shared" si="0"/>
        <v>P_n10</v>
      </c>
      <c r="R23" s="50">
        <f xml:space="preserve"> P_n9 - dP_P1</f>
        <v>702894.02151489258</v>
      </c>
      <c r="S23" s="26" t="s">
        <v>5</v>
      </c>
      <c r="T23" s="43" t="s">
        <v>135</v>
      </c>
      <c r="U23" s="43"/>
      <c r="W23"/>
      <c r="X23"/>
    </row>
    <row r="24" spans="2:24" ht="15.75" thickBot="1" x14ac:dyDescent="0.3">
      <c r="B24" s="31" t="s">
        <v>16</v>
      </c>
      <c r="C24" s="31"/>
      <c r="D24" s="31"/>
      <c r="P24" s="31" t="s">
        <v>123</v>
      </c>
      <c r="Q24" s="27" t="str">
        <f t="shared" si="0"/>
        <v>P_n11</v>
      </c>
      <c r="R24" s="50">
        <f xml:space="preserve"> P_n10 - dP_J2</f>
        <v>702700.96081542969</v>
      </c>
      <c r="S24" s="26" t="s">
        <v>5</v>
      </c>
      <c r="T24" s="43" t="s">
        <v>136</v>
      </c>
      <c r="U24" s="43"/>
      <c r="W24"/>
      <c r="X24"/>
    </row>
    <row r="25" spans="2:24" ht="15.75" thickBot="1" x14ac:dyDescent="0.3">
      <c r="B25" s="31" t="s">
        <v>25</v>
      </c>
      <c r="C25" s="27" t="s">
        <v>48</v>
      </c>
      <c r="D25" s="32">
        <v>700000</v>
      </c>
      <c r="E25" s="26" t="s">
        <v>5</v>
      </c>
      <c r="F25" s="12"/>
      <c r="G25" s="18"/>
      <c r="P25" s="31" t="s">
        <v>124</v>
      </c>
      <c r="Q25" s="27" t="str">
        <f t="shared" si="0"/>
        <v>P_n12</v>
      </c>
      <c r="R25" s="50">
        <f xml:space="preserve"> P_n11 - dP_P2</f>
        <v>702342.69161987305</v>
      </c>
      <c r="S25" s="26" t="s">
        <v>5</v>
      </c>
      <c r="T25" s="43" t="s">
        <v>137</v>
      </c>
      <c r="U25" s="43"/>
      <c r="W25"/>
      <c r="X25"/>
    </row>
    <row r="26" spans="2:24" ht="15.75" thickBot="1" x14ac:dyDescent="0.3">
      <c r="P26" s="31" t="s">
        <v>125</v>
      </c>
      <c r="Q26" s="27" t="str">
        <f t="shared" si="0"/>
        <v>P_n13</v>
      </c>
      <c r="R26" s="50">
        <f xml:space="preserve"> P_n12 - dP_J3</f>
        <v>702149.63092041016</v>
      </c>
      <c r="S26" s="26" t="s">
        <v>5</v>
      </c>
      <c r="T26" s="43" t="s">
        <v>138</v>
      </c>
      <c r="U26" s="43"/>
      <c r="W26"/>
      <c r="X26"/>
    </row>
    <row r="27" spans="2:24" ht="15.75" thickBot="1" x14ac:dyDescent="0.3">
      <c r="B27" s="21" t="s">
        <v>15</v>
      </c>
      <c r="P27" s="31" t="s">
        <v>126</v>
      </c>
      <c r="Q27" s="27" t="str">
        <f t="shared" si="0"/>
        <v>P_n14</v>
      </c>
      <c r="R27" s="50">
        <f xml:space="preserve"> P_n13 - dP_P3</f>
        <v>700000.01568603516</v>
      </c>
      <c r="S27" s="26" t="s">
        <v>5</v>
      </c>
      <c r="T27" s="43" t="s">
        <v>139</v>
      </c>
      <c r="U27" s="43"/>
      <c r="W27"/>
      <c r="X27"/>
    </row>
    <row r="28" spans="2:24" ht="15.75" thickBot="1" x14ac:dyDescent="0.3">
      <c r="B28" s="31" t="s">
        <v>16</v>
      </c>
      <c r="C28" s="69" t="s">
        <v>63</v>
      </c>
      <c r="D28" s="69"/>
      <c r="E28" s="69" t="s">
        <v>64</v>
      </c>
      <c r="F28" s="69"/>
      <c r="G28" s="69" t="s">
        <v>65</v>
      </c>
      <c r="H28" s="69"/>
      <c r="L28" s="45" t="s">
        <v>109</v>
      </c>
      <c r="M28" s="46"/>
      <c r="N28" s="53">
        <v>0</v>
      </c>
      <c r="P28" s="43"/>
      <c r="Q28" s="31"/>
      <c r="R28" s="27"/>
      <c r="S28" s="27"/>
      <c r="T28" s="26"/>
      <c r="U28" s="43"/>
      <c r="X28"/>
    </row>
    <row r="29" spans="2:24" ht="15.75" thickBot="1" x14ac:dyDescent="0.3">
      <c r="B29" s="31" t="s">
        <v>39</v>
      </c>
      <c r="C29" s="27" t="s">
        <v>66</v>
      </c>
      <c r="D29" s="22">
        <v>0.1023</v>
      </c>
      <c r="E29" s="27" t="s">
        <v>73</v>
      </c>
      <c r="F29" s="22">
        <v>60</v>
      </c>
      <c r="G29" s="27" t="s">
        <v>80</v>
      </c>
      <c r="H29" s="33">
        <v>4.5720000000000003E-5</v>
      </c>
      <c r="L29" s="31" t="s">
        <v>27</v>
      </c>
      <c r="M29" s="27" t="s">
        <v>50</v>
      </c>
      <c r="N29" s="48">
        <f>_xll.SplineInterpolation(Q_J5,$B$57:$B$61,$C$57:$C$61,Cd)</f>
        <v>5.4981513023376465</v>
      </c>
      <c r="O29" s="26" t="s">
        <v>107</v>
      </c>
      <c r="P29" s="43" t="s">
        <v>106</v>
      </c>
      <c r="U29" s="26"/>
    </row>
    <row r="30" spans="2:24" ht="15.75" thickBot="1" x14ac:dyDescent="0.3">
      <c r="B30" s="31" t="s">
        <v>37</v>
      </c>
      <c r="C30" s="27" t="s">
        <v>67</v>
      </c>
      <c r="D30" s="22">
        <v>0.1023</v>
      </c>
      <c r="E30" s="27" t="s">
        <v>74</v>
      </c>
      <c r="F30" s="22">
        <v>5</v>
      </c>
      <c r="G30" s="27" t="s">
        <v>81</v>
      </c>
      <c r="H30" s="33">
        <v>4.5720000000000003E-5</v>
      </c>
      <c r="L30" s="31" t="s">
        <v>27</v>
      </c>
      <c r="M30" s="27" t="s">
        <v>51</v>
      </c>
      <c r="N30" s="47">
        <f xml:space="preserve"> _xll.StaticPressure_H_Rho_g(H_J5,rho)</f>
        <v>53816.46484375</v>
      </c>
      <c r="O30" s="26" t="s">
        <v>5</v>
      </c>
      <c r="P30" s="43" t="s">
        <v>168</v>
      </c>
      <c r="U30" s="26"/>
    </row>
    <row r="31" spans="2:24" ht="15.75" thickBot="1" x14ac:dyDescent="0.3">
      <c r="B31" s="31" t="s">
        <v>42</v>
      </c>
      <c r="C31" s="27" t="s">
        <v>68</v>
      </c>
      <c r="D31" s="22">
        <v>0.1023</v>
      </c>
      <c r="E31" s="27" t="s">
        <v>75</v>
      </c>
      <c r="F31" s="22">
        <v>30</v>
      </c>
      <c r="G31" s="27" t="s">
        <v>82</v>
      </c>
      <c r="H31" s="33">
        <v>4.5720000000000003E-5</v>
      </c>
      <c r="U31" s="26"/>
    </row>
    <row r="32" spans="2:24" ht="15.75" thickBot="1" x14ac:dyDescent="0.3">
      <c r="B32" s="31" t="s">
        <v>43</v>
      </c>
      <c r="C32" s="27" t="s">
        <v>69</v>
      </c>
      <c r="D32" s="22">
        <v>0.1023</v>
      </c>
      <c r="E32" s="27" t="s">
        <v>76</v>
      </c>
      <c r="F32" s="22">
        <v>30</v>
      </c>
      <c r="G32" s="27" t="s">
        <v>83</v>
      </c>
      <c r="H32" s="33">
        <v>4.5720000000000003E-5</v>
      </c>
      <c r="L32" s="49" t="s">
        <v>108</v>
      </c>
      <c r="P32" s="10"/>
      <c r="U32" s="26"/>
    </row>
    <row r="33" spans="2:21" ht="15.75" thickBot="1" x14ac:dyDescent="0.3">
      <c r="B33" s="31" t="s">
        <v>38</v>
      </c>
      <c r="C33" s="27" t="s">
        <v>70</v>
      </c>
      <c r="D33" s="22">
        <v>0.1023</v>
      </c>
      <c r="E33" s="27" t="s">
        <v>77</v>
      </c>
      <c r="F33" s="22">
        <v>60</v>
      </c>
      <c r="G33" s="27" t="s">
        <v>84</v>
      </c>
      <c r="H33" s="33">
        <v>4.5720000000000003E-5</v>
      </c>
      <c r="L33" s="31" t="s">
        <v>35</v>
      </c>
      <c r="M33" s="27" t="s">
        <v>49</v>
      </c>
      <c r="N33" s="47">
        <f>_xll.SplineInterpolation(Q_J5,$B$47:$B$52,$C$47:$C$52,Cd)</f>
        <v>35130.74609375</v>
      </c>
      <c r="O33" s="26" t="s">
        <v>5</v>
      </c>
      <c r="P33" s="43" t="s">
        <v>105</v>
      </c>
      <c r="U33" s="26"/>
    </row>
    <row r="34" spans="2:21" ht="15.75" thickBot="1" x14ac:dyDescent="0.3">
      <c r="B34" s="31" t="s">
        <v>44</v>
      </c>
      <c r="C34" s="27" t="s">
        <v>71</v>
      </c>
      <c r="D34" s="22">
        <v>0.1023</v>
      </c>
      <c r="E34" s="27" t="s">
        <v>78</v>
      </c>
      <c r="F34" s="22">
        <v>5</v>
      </c>
      <c r="G34" s="27" t="s">
        <v>85</v>
      </c>
      <c r="H34" s="33">
        <v>4.5720000000000003E-5</v>
      </c>
      <c r="O34" s="43"/>
      <c r="P34" s="43"/>
      <c r="U34" s="26"/>
    </row>
    <row r="35" spans="2:21" ht="15.75" thickBot="1" x14ac:dyDescent="0.3">
      <c r="B35" s="31" t="s">
        <v>45</v>
      </c>
      <c r="C35" s="27" t="s">
        <v>72</v>
      </c>
      <c r="D35" s="22">
        <v>0.1023</v>
      </c>
      <c r="E35" s="27" t="s">
        <v>79</v>
      </c>
      <c r="F35" s="22">
        <v>60</v>
      </c>
      <c r="G35" s="27" t="s">
        <v>86</v>
      </c>
      <c r="H35" s="33">
        <v>4.5720000000000003E-5</v>
      </c>
      <c r="L35" s="45" t="s">
        <v>110</v>
      </c>
      <c r="M35" s="46"/>
      <c r="N35" s="46"/>
      <c r="O35" s="43"/>
      <c r="P35" s="43"/>
      <c r="U35" s="26"/>
    </row>
    <row r="36" spans="2:21" ht="15" customHeight="1" thickBot="1" x14ac:dyDescent="0.3">
      <c r="B36" s="5"/>
      <c r="C36" s="6"/>
      <c r="D36" s="7"/>
      <c r="E36" s="6"/>
      <c r="F36" s="7"/>
      <c r="G36" s="6"/>
      <c r="H36" s="9"/>
      <c r="L36" s="31" t="s">
        <v>39</v>
      </c>
      <c r="M36" s="27" t="s">
        <v>28</v>
      </c>
      <c r="N36" s="47">
        <f>_xll.PipeStraightCircularCrossSection_dP(D_P1,L_P1,Q_J5,rho,nu,2,e_P1,,,Cd,L36)</f>
        <v>4299.23046875</v>
      </c>
      <c r="O36" s="26" t="s">
        <v>5</v>
      </c>
      <c r="P36" s="43" t="s">
        <v>232</v>
      </c>
      <c r="U36" s="26"/>
    </row>
    <row r="37" spans="2:21" ht="15.75" thickBot="1" x14ac:dyDescent="0.3">
      <c r="B37" s="21" t="s">
        <v>17</v>
      </c>
      <c r="L37" s="31" t="s">
        <v>37</v>
      </c>
      <c r="M37" s="27" t="s">
        <v>29</v>
      </c>
      <c r="N37" s="47">
        <f>_xll.PipeStraightCircularCrossSection_dP(D_P2,L_P2,Q_J5,rho,nu,2,e_P2,,,Cd,L37)</f>
        <v>358.26919555664063</v>
      </c>
      <c r="O37" s="26" t="s">
        <v>5</v>
      </c>
      <c r="P37" s="43" t="s">
        <v>233</v>
      </c>
      <c r="R37" s="31"/>
      <c r="S37" s="27"/>
      <c r="T37" s="27"/>
      <c r="U37" s="26"/>
    </row>
    <row r="38" spans="2:21" ht="15.75" thickBot="1" x14ac:dyDescent="0.3">
      <c r="B38" s="31" t="s">
        <v>16</v>
      </c>
      <c r="C38" s="69" t="s">
        <v>63</v>
      </c>
      <c r="D38" s="69"/>
      <c r="E38" s="69" t="s">
        <v>103</v>
      </c>
      <c r="F38" s="69"/>
      <c r="G38" s="69" t="s">
        <v>104</v>
      </c>
      <c r="H38" s="69"/>
      <c r="I38" s="69" t="s">
        <v>65</v>
      </c>
      <c r="J38" s="69"/>
      <c r="L38" s="31" t="s">
        <v>42</v>
      </c>
      <c r="M38" s="27" t="s">
        <v>30</v>
      </c>
      <c r="N38" s="47">
        <f>_xll.PipeStraightCircularCrossSection_dP(D_P3,L_P3,Q_J5,rho,nu,2,e_P3,,,Cd,L38)</f>
        <v>2149.615234375</v>
      </c>
      <c r="O38" s="26" t="s">
        <v>5</v>
      </c>
      <c r="P38" s="43" t="s">
        <v>234</v>
      </c>
      <c r="R38" s="31"/>
      <c r="S38" s="27"/>
      <c r="T38" s="27"/>
      <c r="U38" s="26"/>
    </row>
    <row r="39" spans="2:21" ht="15.75" thickBot="1" x14ac:dyDescent="0.3">
      <c r="B39" s="31" t="s">
        <v>40</v>
      </c>
      <c r="C39" s="27" t="s">
        <v>87</v>
      </c>
      <c r="D39" s="22">
        <v>0.1023</v>
      </c>
      <c r="E39" s="27" t="s">
        <v>91</v>
      </c>
      <c r="F39" s="22">
        <f t="shared" ref="F39:F42" si="1">D39*0.8</f>
        <v>8.184000000000001E-2</v>
      </c>
      <c r="G39" s="27" t="s">
        <v>95</v>
      </c>
      <c r="H39" s="22">
        <v>90</v>
      </c>
      <c r="I39" s="27" t="s">
        <v>99</v>
      </c>
      <c r="J39" s="33">
        <v>4.5720000000000003E-5</v>
      </c>
      <c r="L39" s="31" t="s">
        <v>43</v>
      </c>
      <c r="M39" s="27" t="s">
        <v>31</v>
      </c>
      <c r="N39" s="47">
        <f>_xll.PipeStraightCircularCrossSection_dP(D_P4,L_P4,Q_J5,rho,nu,2,e_P4,,,Cd,L39)</f>
        <v>2149.615234375</v>
      </c>
      <c r="O39" s="26" t="s">
        <v>5</v>
      </c>
      <c r="P39" s="43" t="s">
        <v>235</v>
      </c>
    </row>
    <row r="40" spans="2:21" ht="15.75" thickBot="1" x14ac:dyDescent="0.3">
      <c r="B40" s="31" t="s">
        <v>36</v>
      </c>
      <c r="C40" s="27" t="s">
        <v>88</v>
      </c>
      <c r="D40" s="22">
        <v>0.1023</v>
      </c>
      <c r="E40" s="27" t="s">
        <v>92</v>
      </c>
      <c r="F40" s="22">
        <f t="shared" si="1"/>
        <v>8.184000000000001E-2</v>
      </c>
      <c r="G40" s="27" t="s">
        <v>96</v>
      </c>
      <c r="H40" s="22">
        <v>90</v>
      </c>
      <c r="I40" s="27" t="s">
        <v>100</v>
      </c>
      <c r="J40" s="33">
        <v>4.5720000000000003E-5</v>
      </c>
      <c r="L40" s="31" t="s">
        <v>38</v>
      </c>
      <c r="M40" s="27" t="s">
        <v>32</v>
      </c>
      <c r="N40" s="47">
        <f>_xll.PipeStraightCircularCrossSection_dP(D_P5,L_P5,Q_J5,rho,nu,2,e_P5,,,Cd,L40)</f>
        <v>4299.23046875</v>
      </c>
      <c r="O40" s="26" t="s">
        <v>5</v>
      </c>
      <c r="P40" s="43" t="s">
        <v>236</v>
      </c>
    </row>
    <row r="41" spans="2:21" ht="15.75" thickBot="1" x14ac:dyDescent="0.3">
      <c r="B41" s="31" t="s">
        <v>41</v>
      </c>
      <c r="C41" s="27" t="s">
        <v>89</v>
      </c>
      <c r="D41" s="22">
        <v>0.1023</v>
      </c>
      <c r="E41" s="27" t="s">
        <v>93</v>
      </c>
      <c r="F41" s="22">
        <f t="shared" si="1"/>
        <v>8.184000000000001E-2</v>
      </c>
      <c r="G41" s="27" t="s">
        <v>97</v>
      </c>
      <c r="H41" s="22">
        <v>90</v>
      </c>
      <c r="I41" s="27" t="s">
        <v>101</v>
      </c>
      <c r="J41" s="33">
        <v>4.5720000000000003E-5</v>
      </c>
      <c r="L41" s="31" t="s">
        <v>44</v>
      </c>
      <c r="M41" s="27" t="s">
        <v>33</v>
      </c>
      <c r="N41" s="47">
        <f>_xll.PipeStraightCircularCrossSection_dP(D_P6,L_P6,Q_J5,rho,nu,2,e_P6,,,Cd,L41)</f>
        <v>358.26919555664063</v>
      </c>
      <c r="O41" s="26" t="s">
        <v>5</v>
      </c>
      <c r="P41" s="43" t="s">
        <v>237</v>
      </c>
    </row>
    <row r="42" spans="2:21" ht="15.75" thickBot="1" x14ac:dyDescent="0.3">
      <c r="B42" s="31" t="s">
        <v>26</v>
      </c>
      <c r="C42" s="27" t="s">
        <v>90</v>
      </c>
      <c r="D42" s="22">
        <v>0.1023</v>
      </c>
      <c r="E42" s="27" t="s">
        <v>94</v>
      </c>
      <c r="F42" s="22">
        <f t="shared" si="1"/>
        <v>8.184000000000001E-2</v>
      </c>
      <c r="G42" s="27" t="s">
        <v>98</v>
      </c>
      <c r="H42" s="22">
        <v>90</v>
      </c>
      <c r="I42" s="27" t="s">
        <v>102</v>
      </c>
      <c r="J42" s="33">
        <v>4.5720000000000003E-5</v>
      </c>
      <c r="L42" s="31" t="s">
        <v>45</v>
      </c>
      <c r="M42" s="27" t="s">
        <v>34</v>
      </c>
      <c r="N42" s="47">
        <f>_xll.PipeStraightCircularCrossSection_dP(D_P7,L_P7,Q_J5,rho,nu,2,e_P7,,,Cd,L42)</f>
        <v>4299.23046875</v>
      </c>
      <c r="O42" s="26" t="s">
        <v>5</v>
      </c>
      <c r="P42" s="43" t="s">
        <v>238</v>
      </c>
    </row>
    <row r="43" spans="2:21" x14ac:dyDescent="0.25">
      <c r="O43" s="43"/>
      <c r="P43" s="43"/>
    </row>
    <row r="44" spans="2:21" ht="15.75" thickBot="1" x14ac:dyDescent="0.3">
      <c r="B44" s="21" t="s">
        <v>147</v>
      </c>
      <c r="C44" s="21"/>
      <c r="L44" s="45" t="s">
        <v>111</v>
      </c>
      <c r="M44" s="46"/>
      <c r="N44" s="46"/>
      <c r="P44" s="43"/>
    </row>
    <row r="45" spans="2:21" ht="15.75" thickBot="1" x14ac:dyDescent="0.3">
      <c r="B45" s="31" t="s">
        <v>22</v>
      </c>
      <c r="C45" s="31" t="s">
        <v>23</v>
      </c>
      <c r="L45" s="31" t="s">
        <v>40</v>
      </c>
      <c r="M45" s="27" t="str">
        <f t="shared" ref="M45:M48" si="2">"dP_"&amp;L45</f>
        <v>dP_J2</v>
      </c>
      <c r="N45" s="47">
        <f>_xll.BendSmoothCircularCrossSection_dP(D_J2,C_J2,A_J2,e_J2,Q_J5,rho,nu,Cd,,,,L45)</f>
        <v>193.06069946289063</v>
      </c>
      <c r="O45" s="26" t="s">
        <v>5</v>
      </c>
      <c r="P45" s="43" t="s">
        <v>228</v>
      </c>
    </row>
    <row r="46" spans="2:21" ht="15.75" thickBot="1" x14ac:dyDescent="0.3">
      <c r="B46" s="34" t="s">
        <v>0</v>
      </c>
      <c r="C46" s="34" t="s">
        <v>5</v>
      </c>
      <c r="L46" s="31" t="s">
        <v>36</v>
      </c>
      <c r="M46" s="27" t="str">
        <f t="shared" si="2"/>
        <v>dP_J3</v>
      </c>
      <c r="N46" s="47">
        <f>_xll.BendSmoothCircularCrossSection_dP(D_J3,C_J3,A_J3,e_J3,Q_J5,rho,nu,Cd,,,,L46)</f>
        <v>193.06069946289063</v>
      </c>
      <c r="O46" s="26" t="s">
        <v>5</v>
      </c>
      <c r="P46" s="43" t="s">
        <v>229</v>
      </c>
    </row>
    <row r="47" spans="2:21" ht="15.75" thickBot="1" x14ac:dyDescent="0.3">
      <c r="B47" s="35">
        <v>0</v>
      </c>
      <c r="C47" s="36">
        <v>0</v>
      </c>
      <c r="L47" s="31" t="s">
        <v>41</v>
      </c>
      <c r="M47" s="27" t="str">
        <f t="shared" si="2"/>
        <v>dP_J6</v>
      </c>
      <c r="N47" s="47">
        <f>_xll.BendSmoothCircularCrossSection_dP(D_J6,C_J6,A_J6,e_J6,Q_J5,rho,nu,Cd,,,,L47)</f>
        <v>193.06069946289063</v>
      </c>
      <c r="O47" s="26" t="s">
        <v>5</v>
      </c>
      <c r="P47" s="43" t="s">
        <v>230</v>
      </c>
    </row>
    <row r="48" spans="2:21" ht="15.75" thickBot="1" x14ac:dyDescent="0.3">
      <c r="B48" s="35">
        <v>2E-3</v>
      </c>
      <c r="C48" s="36">
        <v>2903</v>
      </c>
      <c r="L48" s="31" t="s">
        <v>26</v>
      </c>
      <c r="M48" s="27" t="str">
        <f t="shared" si="2"/>
        <v>dP_J7</v>
      </c>
      <c r="N48" s="47">
        <f>_xll.BendSmoothCircularCrossSection_dP(D_J7,C_J7,A_J7,e_J7,Q_J5,rho,nu,Cd,,,,L48)</f>
        <v>193.06069946289063</v>
      </c>
      <c r="O48" s="26" t="s">
        <v>5</v>
      </c>
      <c r="P48" s="43" t="s">
        <v>231</v>
      </c>
    </row>
    <row r="49" spans="2:12" ht="15.75" thickBot="1" x14ac:dyDescent="0.3">
      <c r="B49" s="35">
        <v>4.0000000000000001E-3</v>
      </c>
      <c r="C49" s="36">
        <v>11612</v>
      </c>
    </row>
    <row r="50" spans="2:12" ht="15.75" thickBot="1" x14ac:dyDescent="0.3">
      <c r="B50" s="35">
        <v>6.0000000000000001E-3</v>
      </c>
      <c r="C50" s="36">
        <v>26127</v>
      </c>
    </row>
    <row r="51" spans="2:12" ht="15.75" thickBot="1" x14ac:dyDescent="0.3">
      <c r="B51" s="35">
        <v>8.0000000000000002E-3</v>
      </c>
      <c r="C51" s="36">
        <v>46448</v>
      </c>
    </row>
    <row r="52" spans="2:12" ht="15.75" thickBot="1" x14ac:dyDescent="0.3">
      <c r="B52" s="35">
        <v>0.01</v>
      </c>
      <c r="C52" s="36">
        <v>72576</v>
      </c>
    </row>
    <row r="54" spans="2:12" x14ac:dyDescent="0.25">
      <c r="B54" s="21" t="s">
        <v>55</v>
      </c>
      <c r="C54" s="21"/>
    </row>
    <row r="55" spans="2:12" x14ac:dyDescent="0.25">
      <c r="B55" s="31" t="s">
        <v>22</v>
      </c>
      <c r="C55" s="31" t="s">
        <v>23</v>
      </c>
    </row>
    <row r="56" spans="2:12" ht="15.75" thickBot="1" x14ac:dyDescent="0.3">
      <c r="B56" s="34" t="s">
        <v>0</v>
      </c>
      <c r="C56" s="34" t="s">
        <v>107</v>
      </c>
      <c r="L56" s="8"/>
    </row>
    <row r="57" spans="2:12" ht="15.75" thickBot="1" x14ac:dyDescent="0.3">
      <c r="B57" s="35">
        <v>0</v>
      </c>
      <c r="C57" s="51">
        <v>6</v>
      </c>
      <c r="L57" s="8"/>
    </row>
    <row r="58" spans="2:12" ht="15.75" thickBot="1" x14ac:dyDescent="0.3">
      <c r="B58" s="35">
        <v>2.5000000000000001E-3</v>
      </c>
      <c r="C58" s="51">
        <v>5.9927999999999999</v>
      </c>
      <c r="L58" s="8"/>
    </row>
    <row r="59" spans="2:12" ht="15.75" thickBot="1" x14ac:dyDescent="0.3">
      <c r="B59" s="35">
        <v>5.0000000000000001E-3</v>
      </c>
      <c r="C59" s="51">
        <v>5.7911999999999999</v>
      </c>
    </row>
    <row r="60" spans="2:12" ht="15.75" thickBot="1" x14ac:dyDescent="0.3">
      <c r="B60" s="35">
        <v>7.4999999999999997E-3</v>
      </c>
      <c r="C60" s="51">
        <v>5.3952</v>
      </c>
    </row>
    <row r="61" spans="2:12" ht="15.75" thickBot="1" x14ac:dyDescent="0.3">
      <c r="B61" s="35">
        <v>0.01</v>
      </c>
      <c r="C61" s="51">
        <v>4.8048000000000002</v>
      </c>
    </row>
    <row r="67" spans="20:24" x14ac:dyDescent="0.25">
      <c r="T67" s="43"/>
    </row>
    <row r="68" spans="20:24" x14ac:dyDescent="0.25">
      <c r="T68" s="43"/>
    </row>
    <row r="69" spans="20:24" x14ac:dyDescent="0.25">
      <c r="T69" s="43"/>
      <c r="X69"/>
    </row>
  </sheetData>
  <mergeCells count="7">
    <mergeCell ref="C38:D38"/>
    <mergeCell ref="G38:H38"/>
    <mergeCell ref="I38:J38"/>
    <mergeCell ref="E38:F38"/>
    <mergeCell ref="C28:D28"/>
    <mergeCell ref="E28:F28"/>
    <mergeCell ref="G28:H28"/>
  </mergeCells>
  <phoneticPr fontId="5" type="noConversion"/>
  <hyperlinks>
    <hyperlink ref="B5" r:id="rId1" xr:uid="{108270E7-07E0-4AB3-A634-9B001122E919}"/>
  </hyperlinks>
  <pageMargins left="0.25" right="0.25" top="0.75" bottom="0.75" header="0.3" footer="0.3"/>
  <pageSetup paperSize="9" scale="44" orientation="landscape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versions xmlns="http://schemas.microsoft.com/SolverFoundationForExcel/Version">
  <addinversion>3.1</addinversion>
</versions>
</file>

<file path=customXml/itemProps1.xml><?xml version="1.0" encoding="utf-8"?>
<ds:datastoreItem xmlns:ds="http://schemas.openxmlformats.org/officeDocument/2006/customXml" ds:itemID="{4F347086-1D2F-4DEE-9176-182014B88C79}">
  <ds:schemaRefs>
    <ds:schemaRef ds:uri="http://schemas.microsoft.com/SolverFoundationForExcel/Vers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75</vt:i4>
      </vt:variant>
    </vt:vector>
  </HeadingPairs>
  <TitlesOfParts>
    <vt:vector size="77" baseType="lpstr">
      <vt:lpstr>Readme</vt:lpstr>
      <vt:lpstr>System</vt:lpstr>
      <vt:lpstr>A_J2</vt:lpstr>
      <vt:lpstr>A_J3</vt:lpstr>
      <vt:lpstr>A_J6</vt:lpstr>
      <vt:lpstr>A_J7</vt:lpstr>
      <vt:lpstr>C_J2</vt:lpstr>
      <vt:lpstr>C_J3</vt:lpstr>
      <vt:lpstr>C_J6</vt:lpstr>
      <vt:lpstr>C_J7</vt:lpstr>
      <vt:lpstr>Cd</vt:lpstr>
      <vt:lpstr>D_J2</vt:lpstr>
      <vt:lpstr>D_J3</vt:lpstr>
      <vt:lpstr>D_J6</vt:lpstr>
      <vt:lpstr>D_J7</vt:lpstr>
      <vt:lpstr>D_P1</vt:lpstr>
      <vt:lpstr>D_P2</vt:lpstr>
      <vt:lpstr>D_P3</vt:lpstr>
      <vt:lpstr>D_P4</vt:lpstr>
      <vt:lpstr>D_P5</vt:lpstr>
      <vt:lpstr>D_P6</vt:lpstr>
      <vt:lpstr>D_P7</vt:lpstr>
      <vt:lpstr>dP_J1</vt:lpstr>
      <vt:lpstr>dP_J2</vt:lpstr>
      <vt:lpstr>dP_J3</vt:lpstr>
      <vt:lpstr>dP_J6</vt:lpstr>
      <vt:lpstr>dP_J7</vt:lpstr>
      <vt:lpstr>dP_P1</vt:lpstr>
      <vt:lpstr>dP_P2</vt:lpstr>
      <vt:lpstr>dP_P3</vt:lpstr>
      <vt:lpstr>dP_P4</vt:lpstr>
      <vt:lpstr>dP_P5</vt:lpstr>
      <vt:lpstr>dP_P6</vt:lpstr>
      <vt:lpstr>dP_P7</vt:lpstr>
      <vt:lpstr>e_J2</vt:lpstr>
      <vt:lpstr>e_J3</vt:lpstr>
      <vt:lpstr>e_J6</vt:lpstr>
      <vt:lpstr>e_J7</vt:lpstr>
      <vt:lpstr>e_P1</vt:lpstr>
      <vt:lpstr>e_P2</vt:lpstr>
      <vt:lpstr>e_P3</vt:lpstr>
      <vt:lpstr>e_P4</vt:lpstr>
      <vt:lpstr>e_P5</vt:lpstr>
      <vt:lpstr>e_P6</vt:lpstr>
      <vt:lpstr>e_P7</vt:lpstr>
      <vt:lpstr>System!H_J1</vt:lpstr>
      <vt:lpstr>H_J5</vt:lpstr>
      <vt:lpstr>J2_</vt:lpstr>
      <vt:lpstr>J3_</vt:lpstr>
      <vt:lpstr>J6_</vt:lpstr>
      <vt:lpstr>J7_</vt:lpstr>
      <vt:lpstr>L_P1</vt:lpstr>
      <vt:lpstr>L_P2</vt:lpstr>
      <vt:lpstr>L_P3</vt:lpstr>
      <vt:lpstr>L_P4</vt:lpstr>
      <vt:lpstr>L_P5</vt:lpstr>
      <vt:lpstr>L_P6</vt:lpstr>
      <vt:lpstr>L_P7</vt:lpstr>
      <vt:lpstr>nu</vt:lpstr>
      <vt:lpstr>P_J4</vt:lpstr>
      <vt:lpstr>P_J5</vt:lpstr>
      <vt:lpstr>P_n1</vt:lpstr>
      <vt:lpstr>P_n10</vt:lpstr>
      <vt:lpstr>P_n11</vt:lpstr>
      <vt:lpstr>P_n12</vt:lpstr>
      <vt:lpstr>P_n13</vt:lpstr>
      <vt:lpstr>P_n14</vt:lpstr>
      <vt:lpstr>P_n2</vt:lpstr>
      <vt:lpstr>P_n3</vt:lpstr>
      <vt:lpstr>P_n4</vt:lpstr>
      <vt:lpstr>P_n5</vt:lpstr>
      <vt:lpstr>P_n6</vt:lpstr>
      <vt:lpstr>P_n7</vt:lpstr>
      <vt:lpstr>P_n8</vt:lpstr>
      <vt:lpstr>P_n9</vt:lpstr>
      <vt:lpstr>Q_J5</vt:lpstr>
      <vt:lpstr>rho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Corre</dc:creator>
  <cp:lastModifiedBy>François Corre</cp:lastModifiedBy>
  <cp:lastPrinted>2021-06-26T14:38:02Z</cp:lastPrinted>
  <dcterms:created xsi:type="dcterms:W3CDTF">2015-06-05T18:19:34Z</dcterms:created>
  <dcterms:modified xsi:type="dcterms:W3CDTF">2022-05-12T16:41:22Z</dcterms:modified>
</cp:coreProperties>
</file>